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580" tabRatio="598" activeTab="0"/>
  </bookViews>
  <sheets>
    <sheet name="dati" sheetId="1" r:id="rId1"/>
    <sheet name="grafico" sheetId="2" r:id="rId2"/>
    <sheet name="calcoli" sheetId="3" r:id="rId3"/>
    <sheet name="glossario" sheetId="4" r:id="rId4"/>
  </sheets>
  <definedNames>
    <definedName name="_xlnm.Print_Area" localSheetId="2">'calcoli'!$B$1:$U$115</definedName>
    <definedName name="_xlnm.Print_Area" localSheetId="0">'dati'!$A$1:$AM$25</definedName>
    <definedName name="_xlnm.Print_Area" localSheetId="3">'glossario'!$A$1:$E$159</definedName>
    <definedName name="pp">'glossario'!$C$71</definedName>
    <definedName name="rad">'calcoli'!$W$2</definedName>
    <definedName name="_xlnm.Print_Titles" localSheetId="2">'calcoli'!$11:$13</definedName>
    <definedName name="tt">'glossario'!$C$70</definedName>
    <definedName name="uu">'glossario'!$C$72</definedName>
    <definedName name="xaa">'calcoli'!$G$9</definedName>
    <definedName name="xat">'calcoli'!$G$10</definedName>
    <definedName name="xca">'calcoli'!$B$15</definedName>
    <definedName name="xcb">'calcoli'!$G$6</definedName>
    <definedName name="xda">'calcoli'!$G$4</definedName>
    <definedName name="xlf">'calcoli'!$G$8</definedName>
    <definedName name="xmf">'calcoli'!$G$7</definedName>
    <definedName name="xvi">'calcoli'!$G$5</definedName>
    <definedName name="yaa">'calcoli'!$Q$9</definedName>
    <definedName name="yat">'calcoli'!$Q$10</definedName>
    <definedName name="yca">'calcoli'!$L$15</definedName>
    <definedName name="ycb">'calcoli'!$Q$6</definedName>
    <definedName name="yda">'calcoli'!$Q$4</definedName>
    <definedName name="ylf">'calcoli'!$Q$8</definedName>
    <definedName name="ymf">'calcoli'!$Q$7</definedName>
    <definedName name="yvi">'calcoli'!$Q$5</definedName>
  </definedNames>
  <calcPr fullCalcOnLoad="1" iterate="1" iterateCount="1" iterateDelta="0.001"/>
</workbook>
</file>

<file path=xl/sharedStrings.xml><?xml version="1.0" encoding="utf-8"?>
<sst xmlns="http://schemas.openxmlformats.org/spreadsheetml/2006/main" count="399" uniqueCount="262">
  <si>
    <t>piedi (ft)</t>
  </si>
  <si>
    <t>E' la distanza, misurata in linea retta, dall'occhio dell'arciere al centro del bersaglio. Per un confronto con distanze espresse in piedi vale il rapporto di 3,281piedi per un metro.</t>
  </si>
  <si>
    <t>grani (gr)</t>
  </si>
  <si>
    <t>Ha relazione con la resistenza posta al volo della freccia. La misura è rilevabile con un calibro, ma per le frecce in lega d'alluminio è ottenibile dal codice che identifica il tipo di asta.</t>
  </si>
  <si>
    <t>Freccia. Tipo di asta della ~</t>
  </si>
  <si>
    <t>Fletching</t>
  </si>
  <si>
    <r>
      <t>N</t>
    </r>
    <r>
      <rPr>
        <sz val="8"/>
        <color indexed="16"/>
        <rFont val="Arial"/>
        <family val="2"/>
      </rPr>
      <t xml:space="preserve">aturale / </t>
    </r>
    <r>
      <rPr>
        <b/>
        <sz val="9"/>
        <color indexed="16"/>
        <rFont val="Arial"/>
        <family val="2"/>
      </rPr>
      <t>P</t>
    </r>
    <r>
      <rPr>
        <sz val="8"/>
        <color indexed="16"/>
        <rFont val="Arial"/>
        <family val="2"/>
      </rPr>
      <t xml:space="preserve">vc </t>
    </r>
  </si>
  <si>
    <t>Impennaggio: Naturale / Pvc</t>
  </si>
  <si>
    <t>In genere le penne naturali oppongono più resistenza all'aria, ma pesano meno di quelle in resina pvc, dando traiettorie più tese nei tiri a media distanza. Per le frecce in fibra di carbonio si usano attualmente nuovi impennaggi artificiali di grande efficienza.</t>
  </si>
  <si>
    <t>Si riferisce al peso della freccia completa di tutte le sue parti. Cocca e impennaggio incidono per pochi grammi, mentre il peso della punta è mediamente il 30% del totale. Per i componenti commercializzati con specifiche di peso in grani, vale il rapporto di 15,43 grani per un grammo.</t>
  </si>
  <si>
    <t>Line of Aim</t>
  </si>
  <si>
    <t>Line of Shot</t>
  </si>
  <si>
    <t xml:space="preserve">Sight Pin Height </t>
  </si>
  <si>
    <t xml:space="preserve">Anchor Point Height </t>
  </si>
  <si>
    <t>Aiming Angle</t>
  </si>
  <si>
    <t>Shooting Angle</t>
  </si>
  <si>
    <t>Air Density</t>
  </si>
  <si>
    <t>Arrow Outside Diameter</t>
  </si>
  <si>
    <t>Arrow Shaft Size</t>
  </si>
  <si>
    <t>Target Level</t>
  </si>
  <si>
    <t>E' la distanza, misurata sull'orizzonte, dall'occhio dell'arciere al punto sottostante, o sovrastante, il centro del bersaglio.</t>
  </si>
  <si>
    <t xml:space="preserve">Energy Storage Ratio </t>
  </si>
  <si>
    <t>Inclination</t>
  </si>
  <si>
    <t>Massa della freccia</t>
  </si>
  <si>
    <t>g</t>
  </si>
  <si>
    <t>Lunghezza della freccia</t>
  </si>
  <si>
    <t>mm</t>
  </si>
  <si>
    <t>grani</t>
  </si>
  <si>
    <t>#</t>
  </si>
  <si>
    <t>°</t>
  </si>
  <si>
    <t>Coefficiente balistico</t>
  </si>
  <si>
    <t>kg/m³</t>
  </si>
  <si>
    <t>Velocitá iniziale</t>
  </si>
  <si>
    <t>m/s</t>
  </si>
  <si>
    <t>s</t>
  </si>
  <si>
    <t>Angolo di tiro</t>
  </si>
  <si>
    <t>m</t>
  </si>
  <si>
    <t>m/s²</t>
  </si>
  <si>
    <t>J</t>
  </si>
  <si>
    <t>P</t>
  </si>
  <si>
    <t xml:space="preserve"> Libbraggio</t>
  </si>
  <si>
    <t xml:space="preserve"> Angolo di mira</t>
  </si>
  <si>
    <t xml:space="preserve"> Massa della freccia</t>
  </si>
  <si>
    <t xml:space="preserve"> Diametro esterno</t>
  </si>
  <si>
    <t xml:space="preserve"> Coefficiente balistico</t>
  </si>
  <si>
    <t xml:space="preserve"> Elevazione</t>
  </si>
  <si>
    <t xml:space="preserve"> Angolo di tiro</t>
  </si>
  <si>
    <t>tipo</t>
  </si>
  <si>
    <t xml:space="preserve"> Asta della freccia</t>
  </si>
  <si>
    <t xml:space="preserve"> Parametri di calcolo</t>
  </si>
  <si>
    <t xml:space="preserve"> Dati calcolati</t>
  </si>
  <si>
    <t xml:space="preserve">tipo </t>
  </si>
  <si>
    <t xml:space="preserve">mm </t>
  </si>
  <si>
    <t xml:space="preserve">grani </t>
  </si>
  <si>
    <t xml:space="preserve"># </t>
  </si>
  <si>
    <t xml:space="preserve">° </t>
  </si>
  <si>
    <t xml:space="preserve">g </t>
  </si>
  <si>
    <t xml:space="preserve">m/s </t>
  </si>
  <si>
    <t xml:space="preserve">% </t>
  </si>
  <si>
    <t>spess.</t>
  </si>
  <si>
    <t xml:space="preserve"> Energia accumulata</t>
  </si>
  <si>
    <t xml:space="preserve">J </t>
  </si>
  <si>
    <t>rad</t>
  </si>
  <si>
    <t>xvi</t>
  </si>
  <si>
    <t>xcb</t>
  </si>
  <si>
    <t>xmf</t>
  </si>
  <si>
    <t>xlf</t>
  </si>
  <si>
    <t>ycb</t>
  </si>
  <si>
    <t>ymf</t>
  </si>
  <si>
    <t>ylf</t>
  </si>
  <si>
    <t>xda</t>
  </si>
  <si>
    <t>xaa</t>
  </si>
  <si>
    <t>xat</t>
  </si>
  <si>
    <t>yda</t>
  </si>
  <si>
    <t>yaa</t>
  </si>
  <si>
    <t>yat</t>
  </si>
  <si>
    <t>yvi</t>
  </si>
  <si>
    <t>T r a i e t t o r i a   n.1</t>
  </si>
  <si>
    <t>T r a i e t t o r i a   n.2</t>
  </si>
  <si>
    <t>T r a i e t t o r i a  n.1</t>
  </si>
  <si>
    <t>T r a i e t t o r i a  n.2</t>
  </si>
  <si>
    <t xml:space="preserve"> Arco</t>
  </si>
  <si>
    <r>
      <t>N</t>
    </r>
    <r>
      <rPr>
        <sz val="8"/>
        <color indexed="16"/>
        <rFont val="Arial"/>
        <family val="2"/>
      </rPr>
      <t xml:space="preserve">aturali / </t>
    </r>
    <r>
      <rPr>
        <b/>
        <sz val="9"/>
        <color indexed="16"/>
        <rFont val="Arial"/>
        <family val="2"/>
      </rPr>
      <t>P</t>
    </r>
    <r>
      <rPr>
        <sz val="8"/>
        <color indexed="16"/>
        <rFont val="Arial"/>
        <family val="2"/>
      </rPr>
      <t xml:space="preserve">vc </t>
    </r>
  </si>
  <si>
    <r>
      <t>R</t>
    </r>
    <r>
      <rPr>
        <sz val="8"/>
        <color indexed="16"/>
        <rFont val="Arial"/>
        <family val="2"/>
      </rPr>
      <t xml:space="preserve">icurvo / </t>
    </r>
    <r>
      <rPr>
        <b/>
        <sz val="9"/>
        <color indexed="16"/>
        <rFont val="Arial"/>
        <family val="2"/>
      </rPr>
      <t>C</t>
    </r>
    <r>
      <rPr>
        <sz val="8"/>
        <color indexed="16"/>
        <rFont val="Arial"/>
        <family val="2"/>
      </rPr>
      <t xml:space="preserve">ompound </t>
    </r>
  </si>
  <si>
    <t>TRAIETTORIE DELLE FRECCE - foglio di calcolo</t>
  </si>
  <si>
    <t xml:space="preserve"> Velocità iniziale</t>
  </si>
  <si>
    <t xml:space="preserve"> Lunghezza della freccia</t>
  </si>
  <si>
    <t>Bow, Recurve/Compound</t>
  </si>
  <si>
    <t>Distance</t>
  </si>
  <si>
    <t>E' il carico ridotto che un arco compound presenta a fine trazione. Corrisponde al suo carico d'ancoraggio.</t>
  </si>
  <si>
    <t>E' la distanza tra la corda e il punto di perno dell'impugnatura, misurata quando l'arco é scarico. In un arco sufficientemente simmetrico, l'altezza della corda corrisponde all'allungo netto per una trazione nulla.</t>
  </si>
  <si>
    <t>Per un arco classico equivale all'apertura dell'arco. Per un arco compound ad eccentrici si intende normalmente la lunghezza della corda misurata ai punti di attacco alle ancorette dei cavi.</t>
  </si>
  <si>
    <t>Force Draw Curve</t>
  </si>
  <si>
    <t>Mass Velocity Curve</t>
  </si>
  <si>
    <t>Flight Time</t>
  </si>
  <si>
    <t>Elevation</t>
  </si>
  <si>
    <t>E' il lavoro speso dall'arciere per tendere l'arco fino ad un determinato allungo d'ancoraggio e costituisce quindi l'energia potenzialmente disponibile per scagliare la freccia.</t>
  </si>
  <si>
    <t>Detta anche Riduzione del Carico, è per gli archi compound la percentuale della differenza tra il carico di picco e quello di valle rapportata al carico di picco.</t>
  </si>
  <si>
    <t>E' la misura dell'energia dispersa per gli attriti interni degli archi compound, rapportata al totale dell'energia accumulata. Questa energia, misurata con una prova statica, risulta sopravvalutata rispetto a quella in realtà dispersa dall'arco in movimento.</t>
  </si>
  <si>
    <t>E' il rapporto tra l'energia cinetica della freccia e l'energia accumulata dall'arco. Viene normalmente espresso in percentuale e varia per ogni arco in funzione del peso della freccia.</t>
  </si>
  <si>
    <t>E' il rendimento dell'arco rilevato nelle condizioni standard definite dalla AMO per la misurazione della Velocità Normale.</t>
  </si>
  <si>
    <t>Drag</t>
  </si>
  <si>
    <t>Spine</t>
  </si>
  <si>
    <t>E' una misura della flessibilità della freccia, espressa misurando in millesimi di pollice la flessione che la freccia subisce quando viene appoggiata a mezzo pollice dalle estremità e caricata al centro con la forza di 2 libbre. Poiché è una misura empirica lo spine può essere considerato come un indice adimensionale.</t>
  </si>
  <si>
    <t>In mancanza di altre indicazioni denota la velocità iniziale della freccia, rilevata nel momento in cui è interamente uscita dall'arco.</t>
  </si>
  <si>
    <t xml:space="preserve">Allungo AMO </t>
  </si>
  <si>
    <t xml:space="preserve">AMO Draw Lenght </t>
  </si>
  <si>
    <t xml:space="preserve">True Draw Lenght / DLPP </t>
  </si>
  <si>
    <t>lb</t>
  </si>
  <si>
    <t xml:space="preserve">Drop </t>
  </si>
  <si>
    <t xml:space="preserve">Full Draw Force </t>
  </si>
  <si>
    <t xml:space="preserve">Peak Draw Force </t>
  </si>
  <si>
    <t xml:space="preserve">Valley Draw Force </t>
  </si>
  <si>
    <t xml:space="preserve">Brace Height </t>
  </si>
  <si>
    <t>String Lenght</t>
  </si>
  <si>
    <t xml:space="preserve">Durata di volo </t>
  </si>
  <si>
    <t xml:space="preserve">Elevazione </t>
  </si>
  <si>
    <t xml:space="preserve">Stored Energy </t>
  </si>
  <si>
    <t xml:space="preserve">Kinetic Energy </t>
  </si>
  <si>
    <t xml:space="preserve">Arrow Lenght </t>
  </si>
  <si>
    <t>Arrow Mass Weight</t>
  </si>
  <si>
    <t>%</t>
  </si>
  <si>
    <t xml:space="preserve">Let-Off </t>
  </si>
  <si>
    <t xml:space="preserve">Bow Weight </t>
  </si>
  <si>
    <t xml:space="preserve">Virtual Mass </t>
  </si>
  <si>
    <t xml:space="preserve">Static Hysteresis </t>
  </si>
  <si>
    <t>J/N</t>
  </si>
  <si>
    <t xml:space="preserve">Efficiency </t>
  </si>
  <si>
    <t xml:space="preserve">AMO Rating Efficiency </t>
  </si>
  <si>
    <t xml:space="preserve">Arrow Velocity </t>
  </si>
  <si>
    <t xml:space="preserve">AMO Rating Velocity </t>
  </si>
  <si>
    <t xml:space="preserve">Allungo d'ancoraggio </t>
  </si>
  <si>
    <t xml:space="preserve">Allungo netto </t>
  </si>
  <si>
    <t xml:space="preserve">Apertura dell'arco </t>
  </si>
  <si>
    <t xml:space="preserve">Caduta della traiettoria </t>
  </si>
  <si>
    <t xml:space="preserve">Coefficiente balistico </t>
  </si>
  <si>
    <t xml:space="preserve">Inclinazione </t>
  </si>
  <si>
    <t xml:space="preserve">Libbraggio </t>
  </si>
  <si>
    <t xml:space="preserve">Ritardazione </t>
  </si>
  <si>
    <t>Full Draw</t>
  </si>
  <si>
    <t>Arco: Ricurvo/Compound</t>
  </si>
  <si>
    <t xml:space="preserve">Corda. Altezza della ~ </t>
  </si>
  <si>
    <t xml:space="preserve">Corda. Lunghezza della ~ </t>
  </si>
  <si>
    <t xml:space="preserve">Freccia. Diametro esterno della ~ </t>
  </si>
  <si>
    <t xml:space="preserve">Freccia. Lunghezza della ~ </t>
  </si>
  <si>
    <t xml:space="preserve">Target range </t>
  </si>
  <si>
    <t>Densità dell'aria</t>
  </si>
  <si>
    <t>Ballistic Coefficient, BC</t>
  </si>
  <si>
    <t>E' un parametro che tiene conto della massa, della sezione e della forma della freccia. Serve a calcolare la decelerazione dovuta alla resistenza dell'aria. A valori più elevati corrisponde una minore resistenza e quindi traiettorie più lunghe.</t>
  </si>
  <si>
    <t>Quindi è normale che la curva abbia inizio oltre il punto d'origine e sotto la linea dell'orizzonte.</t>
  </si>
  <si>
    <t>La traiettoria dipende dall'energia rilasciata dall'arco, dal peso e dall'aerodinamicità della freccia, dall'assetto di tiro e dalle condizioni ambientali.</t>
  </si>
  <si>
    <t>Bow Lenght</t>
  </si>
  <si>
    <t xml:space="preserve">Distanza di tiro </t>
  </si>
  <si>
    <t xml:space="preserve">Distanza in piano </t>
  </si>
  <si>
    <t xml:space="preserve">Draw Force </t>
  </si>
  <si>
    <t>libbre (lb)</t>
  </si>
  <si>
    <t>E' la forza esercitata per tendere l'arco all'allungo d'ancoraggio. Per un arco compound corrisponde al carico di valle. E' quindi un parametro da non confondere con il libbraggio.</t>
  </si>
  <si>
    <t>E' un grafico che mostra il variare del carico di trazione e dell'energia accumulata in funzione dell'allungo. Il diagramma di trazione fornisce una specie di carta d'identità dell'arco, utile per avere informazioni circa le sue prestazioni e il suo stato di regolazione.</t>
  </si>
  <si>
    <t>E' un grafico che rileva quali velocità iniziali di tiro e quali rendimenti dell'arco sono ottenibili variando la massa della freccia. Il diagramma di velocità fornisce le informazioni utili per valutare le prestazioni dell'arco e scegliere la freccia ottimale da utilizzare.</t>
  </si>
  <si>
    <t>E' una porzione della traiettoria misurata in unità di tempo a partire dal momento in cui la freccia è scoccata. In particolare è il tempo impiegato dalla freccia per giungere al bersaglio.</t>
  </si>
  <si>
    <t xml:space="preserve">Freccia. Massa della ~ </t>
  </si>
  <si>
    <t>codice</t>
  </si>
  <si>
    <t>lunghezza (mm)</t>
  </si>
  <si>
    <t>E' una specifica commerciale che indica il carico di trazione necessario per tendere l'arco. Per gli archi ricurvi é il carico d'ancoraggio rilevato all'allungo AMO di 28". Per gli archi compound viene generalmente indicato un campo di variabilità che corrisponde al carico di picco minimo e massimo ottenibile con la regolazione dei flettenti.
.</t>
  </si>
  <si>
    <t>E' una misura indiretta dell'energia dispersa dall'arco; più precisamente è la massa che muovendosi alla velocità della freccia avrebbe un'energia cinetica uguale a quella assorbita dai flettenti e dalla corda in movimento.</t>
  </si>
  <si>
    <t>Angolo di mira</t>
  </si>
  <si>
    <t xml:space="preserve">Angolo di tiro </t>
  </si>
  <si>
    <t>E' la differenza tra l'angolo di tiro e l'angolo di mira, dando una misura di quale sia la correzione necessaria per compensare la curvatura della traiettoria, in una determinata condizione di tiro. Per un bersaglio posto sulla linea dell'orizzonte, l'angolo di tiro coincide con l'elevazione.</t>
  </si>
  <si>
    <t>E' l'angolo racchiuso tra la linea dell'orizzonte e la linea di tiro, lungo la quale la freccia inizia la sua traiettoria. In assenza di perturbazioni, la linea di tiro coincide con l'asse della freccia nel momento in cui viene scoccata. Per un bersaglio posto sulla linea dell'orizzonte, l'angolo di tiro coincide con l'elevazione.</t>
  </si>
  <si>
    <t>Linea di mira</t>
  </si>
  <si>
    <t>Linea di tiro</t>
  </si>
  <si>
    <t>E' la retta che unisce occhio e bersaglio, passando dal punto di mira.</t>
  </si>
  <si>
    <t>E' la retta lungo la quale la freccia inizia la sua traiettoria. In assenza di perturbazioni, la linea di tiro coincide con l'asse della freccia nel momento in cui viene scoccata..</t>
  </si>
  <si>
    <t>Altezza del mirino</t>
  </si>
  <si>
    <t>Altezza dell'occhio</t>
  </si>
  <si>
    <t xml:space="preserve">Quota del bersaglio </t>
  </si>
  <si>
    <t>E' la misura di quanto il bersaglio sia posto sopra, o negativamente sotto, la linea dell'orizzonte.</t>
  </si>
  <si>
    <t>E' la misura della decelerazione causata dalla resistenza dell'aria. Poiché è proporzionale al quadrato della velocità della freccia, la ritardazione varia notevolmente lungo la traiettoria.</t>
  </si>
  <si>
    <t>pollici (in)</t>
  </si>
  <si>
    <t xml:space="preserve"> Impennaggio</t>
  </si>
  <si>
    <t xml:space="preserve"> Massa della punta</t>
  </si>
  <si>
    <t xml:space="preserve"> Altezza dell'occhio</t>
  </si>
  <si>
    <t xml:space="preserve"> Altezza del mirino</t>
  </si>
  <si>
    <t xml:space="preserve"> Densità dell'aria</t>
  </si>
  <si>
    <r>
      <t xml:space="preserve"> Durata  </t>
    </r>
    <r>
      <rPr>
        <sz val="9"/>
        <color indexed="16"/>
        <rFont val="Arial"/>
        <family val="2"/>
      </rPr>
      <t xml:space="preserve">  </t>
    </r>
    <r>
      <rPr>
        <sz val="8"/>
        <color indexed="16"/>
        <rFont val="Arial"/>
        <family val="2"/>
      </rPr>
      <t xml:space="preserve"> s </t>
    </r>
  </si>
  <si>
    <t>Durata esaminata</t>
  </si>
  <si>
    <t>in piano</t>
  </si>
  <si>
    <t>istante</t>
  </si>
  <si>
    <t>rilevato</t>
  </si>
  <si>
    <t>distanza</t>
  </si>
  <si>
    <t>del punto</t>
  </si>
  <si>
    <t>angolo</t>
  </si>
  <si>
    <t>velocità</t>
  </si>
  <si>
    <t>nel punto</t>
  </si>
  <si>
    <t>energia</t>
  </si>
  <si>
    <t>cinetica</t>
  </si>
  <si>
    <t>caduta</t>
  </si>
  <si>
    <t>linea</t>
  </si>
  <si>
    <t>di mira</t>
  </si>
  <si>
    <t>totale</t>
  </si>
  <si>
    <t>ritardaz.</t>
  </si>
  <si>
    <t>di tiro</t>
  </si>
  <si>
    <t>quota</t>
  </si>
  <si>
    <t>inclinaz.</t>
  </si>
  <si>
    <t xml:space="preserve">I parametri utilizzati vanno intesi secondo i termini qui sotto descritti. </t>
  </si>
  <si>
    <t>umidità relativa (%)</t>
  </si>
  <si>
    <t>Per semplicità di calcolo si ipotizza che la distanza tra occhio e punto di mira sia sufficientemente uguale alla lunghezza della freccia.</t>
  </si>
  <si>
    <t>E' l'angolo racchiuso tra la linea dell'orizzonte e la linea di mira, che unisce occhio, punto di mira e bersaglio. Per compensare la curvatura della traiettoria, l'angolo di tiro è tanto maggiore dell'angolo di mira quanto più è lontano il bersaglio.</t>
  </si>
  <si>
    <t>C</t>
  </si>
  <si>
    <t>metri (m)</t>
  </si>
  <si>
    <t>millimetri (mm)</t>
  </si>
  <si>
    <t>grammi (g)</t>
  </si>
  <si>
    <t>pressione (mbar)</t>
  </si>
  <si>
    <t>temperatura (°C)</t>
  </si>
  <si>
    <t>R</t>
  </si>
  <si>
    <t>E' lo sbraccio praticato dell'arciere, al momento di scoccare la freccia. Per gli archi compound correttamente regolati, l'ancoraggio corrisponde all'allungo per il quale la trazione è ridotta al carico di valle. La misura può essere specificata con due criteri diversi: allungo AMO e allungo netto.</t>
  </si>
  <si>
    <t>E' la distanza tra l'occhio dell'arciere e l'asse della freccia che individua la linea di tiro. Tale distanza, con un punto d'ancoraggio al mento o alla bocca, è assimilabile alla distanza tra occhio e cocca della freccia.</t>
  </si>
  <si>
    <t>E' la distanza tra il punto di mira e l'asse della freccia. Qualora la distanza tra punto di mira e occhio dell'arciere sia alquanto diversa dalla lunghezza della freccia, occorre conoscere questa distanza per calcolare l'angolo di elevazione.</t>
  </si>
  <si>
    <t xml:space="preserve">Indica la lunghezza dell'arco armato, a riposo. Per un arco tradizionale, l'apertura equivale alla lunghezza della corda. Per un arco compound é la distanza tra gli assi delle carrucole. Per le norme AMO, "bow-lenght" è la lunghezza nominale della corda, che è convenzionalmente tre pollici più della misura reale. </t>
  </si>
  <si>
    <t>Nelle competizioni sportive sono questi i tipi di arco più utilizzati: l'arco a flettenti ricurvi, di tradizione mediterranea, e l'arco compound, tecnologicamente evoluto, con carrucole eccentriche o camme differenziali. Il long-bow, l'arco non ricurvo di tradizione inglese, è scarsamente utilizzato perché meno efficiente.</t>
  </si>
  <si>
    <t>E' il carico maggiore che si deve superare per tendere un arco compound. Per questo tipo di arco il carico di picco ne definisce il libbraggio.</t>
  </si>
  <si>
    <t>E' l'energia presente in un oggetto in movimento, calcolabile in funzione della sua massa e della sua velocità. E' una misura riferibile alla freccia nel corso della traiettoria, ma anche ai flettenti in movimento mentre la freccia è scoccata..</t>
  </si>
  <si>
    <t>E' la lunghezza misurata dall'incavo della cocca all'estremità dell'asta. La dimensione della punta montata sulla freccia é quindi esclusa dal computo della lunghezza. Per gli arcieri abituati a esprimere la lunghezza delle frecce in pollici, vale il rapporto di 25,4 millimetri per un pollice.</t>
  </si>
  <si>
    <t>Attualmente sono in uso anche frecce in fibra di carbonio, o altri materiali compositi, mentre le aste in legno sono ormai riservate a pochi appassionati. Le più diffuse sono le frecce in lega d'alluminio, commercializzate con un codice di quattro cifre che ne identifica le dimensioni della sezione.</t>
  </si>
  <si>
    <t xml:space="preserve">Corrisponde alla tangente alla traiettoria rilevata in un determinato istante. Al momento dello sgancio, l'inclinazione coincide con l'angolo di tiro </t>
  </si>
  <si>
    <t xml:space="preserve">Carico di trazione </t>
  </si>
  <si>
    <t xml:space="preserve">Carico d'ancoraggio </t>
  </si>
  <si>
    <t xml:space="preserve">Carico di picco </t>
  </si>
  <si>
    <t xml:space="preserve">Carico di valle </t>
  </si>
  <si>
    <t>Diagramma di trazione</t>
  </si>
  <si>
    <t>Diagramma di velocità</t>
  </si>
  <si>
    <t xml:space="preserve">Energia accumulata </t>
  </si>
  <si>
    <t xml:space="preserve">Energia cinetica </t>
  </si>
  <si>
    <t xml:space="preserve">Massa virtuale </t>
  </si>
  <si>
    <t xml:space="preserve">Perdite per attrito </t>
  </si>
  <si>
    <t xml:space="preserve">Rapporto energia/carico </t>
  </si>
  <si>
    <t xml:space="preserve">Rendimento normale </t>
  </si>
  <si>
    <t xml:space="preserve">Velocità della freccia </t>
  </si>
  <si>
    <t xml:space="preserve">Velocità normale </t>
  </si>
  <si>
    <t>E' la misura della velocità alla quale un determinato arco è in grado di scagliare una freccia nelle condizioni standard AMO: 60 libbre di carico d'ancoraggio (o di picco, per gli archi compound); 30 pollici di allungo AMO; 540 grani di peso della freccia.</t>
  </si>
  <si>
    <t>E' la stima di quanto un punto della traiettoria sia più basso rispetto alla linea di tiro. Ha quindi un valore tendenzialmente uguale allo spazio percorso dalla freccia se fosse lasciata cadere verticalmente per uno stesso lasso di tempo.</t>
  </si>
  <si>
    <t>Il valore standard è 1,225 kg/m³. La resistenza che l'aria oppone alla freccia è maggiore quando la pressione atmosferica è alta e la temperatura è bassa, mentre si riduce di poco con l'umidità. L'altitudine comporta un gradiente di circa --6°C e --100 mbar ogni mille metri di quota.</t>
  </si>
  <si>
    <t>Nei calcoli si considera che l'origine del diagramma coincida con l'occhio dell'arciere, mentre la traiettoria sia quella tracciata dalla punta della freccia.</t>
  </si>
  <si>
    <t>Equivale all'allungo netto maggiorato di 44 millimetri. Quindi l'allungo AMO standard di 28", indicato nelle specifiche degli archi, è uguale ad un allungo netto di 26¼" DLPP, cioè: 667 mm. La tendenza attuale è quella di considerare standard 28¼" DLPP pari a 718 mm di allungo netto.</t>
  </si>
  <si>
    <t>E' l'allungo rilevato misurando la distanza dal punto d'incocco al punto della freccia sovrastante il perno dell'impugnatura, dove normalmente é posto il rest. Questo criterio è anche denominato con la sigla DLPP (Draw Lenght from Pivot Point). Per la conversione tra pollici e millimetri vale il rapporto di 25,4 mm/in.</t>
  </si>
  <si>
    <r>
      <t xml:space="preserve">I parametri e gli algoritmi di calcolo qui presenti, sono stati scelti in  base a numerosi dati sperimentali rilevati in contesti tipici del tiro  "di campagna". Per meglio valutare l'azione dei singoli parametri è previsto il confronto tra due traiettorie. I dati da immettere sono evidenziati su fondo giallo. La durata è l'intervallo di tempo che si vuole esaminare. Il risultato è rappresentato in "grafico". Altre informazioni sono reperibili in "glossario" e sul sito </t>
    </r>
    <r>
      <rPr>
        <b/>
        <sz val="8"/>
        <color indexed="16"/>
        <rFont val="Arial"/>
        <family val="2"/>
      </rPr>
      <t>www.outlab.it</t>
    </r>
    <r>
      <rPr>
        <sz val="8"/>
        <color indexed="55"/>
        <rFont val="Arial"/>
        <family val="2"/>
      </rPr>
      <t>.</t>
    </r>
  </si>
  <si>
    <t>TRAIETTORIE DELLE FRECCE - dettaglio dei calcoli</t>
  </si>
  <si>
    <t>www.outlab.it</t>
  </si>
  <si>
    <t>La precisione dei calcoli migliora selezionando una minore durata di volo.</t>
  </si>
  <si>
    <t>TRAIETTORIE DELLE FRECCE - note e glossario</t>
  </si>
  <si>
    <r>
      <t xml:space="preserve">Altre informazioni sono reperibili nel sito </t>
    </r>
    <r>
      <rPr>
        <b/>
        <sz val="9"/>
        <color indexed="16"/>
        <rFont val="Arial"/>
        <family val="2"/>
      </rPr>
      <t>www.outlab.it</t>
    </r>
    <r>
      <rPr>
        <sz val="9"/>
        <color indexed="63"/>
        <rFont val="Arial"/>
        <family val="2"/>
      </rPr>
      <t>.</t>
    </r>
  </si>
  <si>
    <t>newton (N)</t>
  </si>
  <si>
    <t xml:space="preserve">E' la misura della trazione necessaria per tendere l'arco ad un determinato allungo. Gli arcieri usano esprimere questa misura in libbre. Nei calcoli scientifici, le forze sono più correttamente espresse in newton. Un newton equivale a 0,2247 libbre.  </t>
  </si>
  <si>
    <t xml:space="preserve"> Rendimento</t>
  </si>
  <si>
    <t>Rendimento</t>
  </si>
  <si>
    <t>Attenuazione del carico</t>
  </si>
  <si>
    <t xml:space="preserve">kg/m² </t>
  </si>
  <si>
    <t>kg/m²</t>
  </si>
  <si>
    <r>
      <t>E' un indice che valuta la qualità di un arco. Si ottiene dividendo l'energia accumulata per il carico d'ancoraggio se si tratta di un arco classico, oppure per il carico di picco se si tratta di un compound. I valori medio-standard usati in questo foglio di calcolo sono</t>
    </r>
    <r>
      <rPr>
        <b/>
        <sz val="10"/>
        <color indexed="63"/>
        <rFont val="Arial"/>
        <family val="2"/>
      </rPr>
      <t xml:space="preserve"> 0,28 </t>
    </r>
    <r>
      <rPr>
        <sz val="10"/>
        <color indexed="63"/>
        <rFont val="Arial"/>
        <family val="2"/>
      </rPr>
      <t xml:space="preserve">J/N per gli archi ricurvi e </t>
    </r>
    <r>
      <rPr>
        <b/>
        <sz val="10"/>
        <color indexed="63"/>
        <rFont val="Arial"/>
        <family val="2"/>
      </rPr>
      <t>0,42</t>
    </r>
    <r>
      <rPr>
        <sz val="10"/>
        <color indexed="63"/>
        <rFont val="Arial"/>
        <family val="2"/>
      </rPr>
      <t xml:space="preserve"> per i moderni compond a camme.</t>
    </r>
  </si>
  <si>
    <t>© 1992 M.&amp;R.Ostidich, vers. 2008/04</t>
  </si>
  <si>
    <t>N</t>
  </si>
  <si>
    <t>Il modello è aggiornato per le prestazioni degli archi moderni.</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</si>
</sst>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_)"/>
    <numFmt numFmtId="166" formatCode="0.0_)"/>
    <numFmt numFmtId="167" formatCode="_(* #,##0_);_(* \(#,##0\);_(* &quot;-&quot;??_);_(@_)"/>
    <numFmt numFmtId="168" formatCode="0.00_)"/>
    <numFmt numFmtId="169" formatCode="0.000_)"/>
    <numFmt numFmtId="170" formatCode="0.000"/>
    <numFmt numFmtId="171" formatCode="0.0000"/>
    <numFmt numFmtId="172" formatCode="0.00000"/>
    <numFmt numFmtId="173" formatCode="&quot;Sì&quot;;&quot;Sì&quot;;&quot;No&quot;"/>
    <numFmt numFmtId="174" formatCode="&quot;Vero&quot;;&quot;Vero&quot;;&quot;Falso&quot;"/>
    <numFmt numFmtId="175" formatCode="&quot;Attivo&quot;;&quot;Attivo&quot;;&quot;Disattivo&quot;"/>
    <numFmt numFmtId="176" formatCode="0.0000000"/>
    <numFmt numFmtId="177" formatCode="0.000000"/>
    <numFmt numFmtId="178" formatCode="#,##0.000000000"/>
    <numFmt numFmtId="179" formatCode="0.000000000E+00"/>
    <numFmt numFmtId="180" formatCode="0.00000000E+00"/>
    <numFmt numFmtId="181" formatCode="0.0000000E+00"/>
    <numFmt numFmtId="182" formatCode="0.000000E+00"/>
    <numFmt numFmtId="183" formatCode="0.00000E+00"/>
    <numFmt numFmtId="184" formatCode="0.0000E+00"/>
    <numFmt numFmtId="185" formatCode="0.000E+00"/>
    <numFmt numFmtId="186" formatCode="0.0%"/>
  </numFmts>
  <fonts count="40">
    <font>
      <sz val="10"/>
      <name val="Arial"/>
      <family val="0"/>
    </font>
    <font>
      <b/>
      <sz val="12"/>
      <color indexed="9"/>
      <name val="Arial"/>
      <family val="2"/>
    </font>
    <font>
      <b/>
      <sz val="14"/>
      <color indexed="9"/>
      <name val="Arial"/>
      <family val="2"/>
    </font>
    <font>
      <sz val="11"/>
      <color indexed="9"/>
      <name val="Arial"/>
      <family val="2"/>
    </font>
    <font>
      <b/>
      <sz val="16"/>
      <color indexed="9"/>
      <name val="Arial"/>
      <family val="2"/>
    </font>
    <font>
      <sz val="10"/>
      <color indexed="9"/>
      <name val="Arial"/>
      <family val="2"/>
    </font>
    <font>
      <sz val="10"/>
      <color indexed="16"/>
      <name val="Arial"/>
      <family val="2"/>
    </font>
    <font>
      <b/>
      <sz val="9"/>
      <color indexed="16"/>
      <name val="Arial"/>
      <family val="2"/>
    </font>
    <font>
      <sz val="9"/>
      <color indexed="9"/>
      <name val="Arial"/>
      <family val="2"/>
    </font>
    <font>
      <b/>
      <sz val="10"/>
      <color indexed="9"/>
      <name val="Arial"/>
      <family val="2"/>
    </font>
    <font>
      <sz val="10"/>
      <color indexed="12"/>
      <name val="ZapfDingbats BT"/>
      <family val="0"/>
    </font>
    <font>
      <sz val="9"/>
      <name val="Arial"/>
      <family val="2"/>
    </font>
    <font>
      <sz val="8"/>
      <name val="Arial"/>
      <family val="2"/>
    </font>
    <font>
      <sz val="8"/>
      <color indexed="9"/>
      <name val="Arial"/>
      <family val="2"/>
    </font>
    <font>
      <sz val="10"/>
      <color indexed="22"/>
      <name val="Arial"/>
      <family val="2"/>
    </font>
    <font>
      <b/>
      <sz val="12"/>
      <name val="Arial Narrow"/>
      <family val="2"/>
    </font>
    <font>
      <b/>
      <sz val="15.25"/>
      <color indexed="23"/>
      <name val="Arial"/>
      <family val="2"/>
    </font>
    <font>
      <sz val="19"/>
      <name val="Arial Narrow"/>
      <family val="0"/>
    </font>
    <font>
      <b/>
      <sz val="10"/>
      <name val="Arial Narrow"/>
      <family val="2"/>
    </font>
    <font>
      <sz val="9"/>
      <color indexed="16"/>
      <name val="Arial"/>
      <family val="2"/>
    </font>
    <font>
      <sz val="8"/>
      <color indexed="16"/>
      <name val="Arial"/>
      <family val="2"/>
    </font>
    <font>
      <b/>
      <sz val="9"/>
      <name val="Arial"/>
      <family val="2"/>
    </font>
    <font>
      <b/>
      <sz val="10"/>
      <color indexed="16"/>
      <name val="Arial"/>
      <family val="2"/>
    </font>
    <font>
      <sz val="12"/>
      <color indexed="9"/>
      <name val="Arial"/>
      <family val="2"/>
    </font>
    <font>
      <sz val="9"/>
      <color indexed="22"/>
      <name val="Arial"/>
      <family val="2"/>
    </font>
    <font>
      <b/>
      <sz val="8"/>
      <color indexed="9"/>
      <name val="Arial"/>
      <family val="2"/>
    </font>
    <font>
      <sz val="9"/>
      <color indexed="8"/>
      <name val="Arial"/>
      <family val="2"/>
    </font>
    <font>
      <sz val="8"/>
      <color indexed="55"/>
      <name val="Arial"/>
      <family val="2"/>
    </font>
    <font>
      <b/>
      <sz val="8"/>
      <color indexed="16"/>
      <name val="Arial"/>
      <family val="2"/>
    </font>
    <font>
      <sz val="10"/>
      <color indexed="63"/>
      <name val="Arial"/>
      <family val="2"/>
    </font>
    <font>
      <b/>
      <sz val="10"/>
      <name val="Arial"/>
      <family val="2"/>
    </font>
    <font>
      <sz val="12"/>
      <name val="Times New Roman"/>
      <family val="1"/>
    </font>
    <font>
      <u val="single"/>
      <sz val="10"/>
      <color indexed="12"/>
      <name val="Arial"/>
      <family val="0"/>
    </font>
    <font>
      <u val="single"/>
      <sz val="10"/>
      <color indexed="36"/>
      <name val="Arial"/>
      <family val="0"/>
    </font>
    <font>
      <b/>
      <sz val="10"/>
      <color indexed="17"/>
      <name val="Arial"/>
      <family val="2"/>
    </font>
    <font>
      <i/>
      <sz val="8"/>
      <color indexed="16"/>
      <name val="Arial"/>
      <family val="2"/>
    </font>
    <font>
      <b/>
      <i/>
      <sz val="11"/>
      <color indexed="23"/>
      <name val="Arial"/>
      <family val="2"/>
    </font>
    <font>
      <b/>
      <i/>
      <sz val="11"/>
      <color indexed="9"/>
      <name val="Arial"/>
      <family val="2"/>
    </font>
    <font>
      <sz val="9"/>
      <color indexed="63"/>
      <name val="Arial"/>
      <family val="2"/>
    </font>
    <font>
      <b/>
      <sz val="10"/>
      <color indexed="63"/>
      <name val="Arial"/>
      <family val="2"/>
    </font>
  </fonts>
  <fills count="10">
    <fill>
      <patternFill/>
    </fill>
    <fill>
      <patternFill patternType="gray125"/>
    </fill>
    <fill>
      <patternFill patternType="solid">
        <fgColor indexed="17"/>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indexed="50"/>
        <bgColor indexed="64"/>
      </patternFill>
    </fill>
    <fill>
      <patternFill patternType="solid">
        <fgColor indexed="51"/>
        <bgColor indexed="64"/>
      </patternFill>
    </fill>
    <fill>
      <patternFill patternType="solid">
        <fgColor indexed="43"/>
        <bgColor indexed="64"/>
      </patternFill>
    </fill>
    <fill>
      <patternFill patternType="solid">
        <fgColor indexed="22"/>
        <bgColor indexed="64"/>
      </patternFill>
    </fill>
  </fills>
  <borders count="44">
    <border>
      <left/>
      <right/>
      <top/>
      <bottom/>
      <diagonal/>
    </border>
    <border>
      <left>
        <color indexed="63"/>
      </left>
      <right>
        <color indexed="63"/>
      </right>
      <top>
        <color indexed="63"/>
      </top>
      <bottom style="thick">
        <color indexed="9"/>
      </bottom>
    </border>
    <border>
      <left>
        <color indexed="63"/>
      </left>
      <right>
        <color indexed="63"/>
      </right>
      <top style="thick">
        <color indexed="9"/>
      </top>
      <bottom>
        <color indexed="63"/>
      </bottom>
    </border>
    <border>
      <left>
        <color indexed="63"/>
      </left>
      <right style="thick">
        <color indexed="22"/>
      </right>
      <top style="thick">
        <color indexed="9"/>
      </top>
      <bottom>
        <color indexed="63"/>
      </bottom>
    </border>
    <border>
      <left style="thick">
        <color indexed="22"/>
      </left>
      <right>
        <color indexed="63"/>
      </right>
      <top style="thick">
        <color indexed="9"/>
      </top>
      <bottom>
        <color indexed="63"/>
      </bottom>
    </border>
    <border>
      <left>
        <color indexed="63"/>
      </left>
      <right style="thick">
        <color indexed="22"/>
      </right>
      <top>
        <color indexed="63"/>
      </top>
      <bottom>
        <color indexed="63"/>
      </bottom>
    </border>
    <border>
      <left style="thick">
        <color indexed="22"/>
      </left>
      <right>
        <color indexed="63"/>
      </right>
      <top>
        <color indexed="63"/>
      </top>
      <bottom>
        <color indexed="63"/>
      </bottom>
    </border>
    <border>
      <left>
        <color indexed="63"/>
      </left>
      <right style="thick">
        <color indexed="22"/>
      </right>
      <top>
        <color indexed="63"/>
      </top>
      <bottom style="thick">
        <color indexed="9"/>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style="thin">
        <color indexed="22"/>
      </left>
      <right>
        <color indexed="63"/>
      </right>
      <top>
        <color indexed="63"/>
      </top>
      <bottom>
        <color indexed="63"/>
      </bottom>
    </border>
    <border>
      <left>
        <color indexed="63"/>
      </left>
      <right>
        <color indexed="63"/>
      </right>
      <top>
        <color indexed="63"/>
      </top>
      <bottom style="thin">
        <color indexed="22"/>
      </bottom>
    </border>
    <border>
      <left style="thin">
        <color indexed="22"/>
      </left>
      <right style="thin">
        <color indexed="22"/>
      </right>
      <top style="thin">
        <color indexed="22"/>
      </top>
      <bottom style="thin">
        <color indexed="16"/>
      </bottom>
    </border>
    <border>
      <left>
        <color indexed="63"/>
      </left>
      <right style="thin">
        <color indexed="22"/>
      </right>
      <top style="thin">
        <color indexed="22"/>
      </top>
      <bottom>
        <color indexed="63"/>
      </bottom>
    </border>
    <border>
      <left style="thin">
        <color indexed="22"/>
      </left>
      <right>
        <color indexed="63"/>
      </right>
      <top>
        <color indexed="63"/>
      </top>
      <bottom style="thin">
        <color indexed="22"/>
      </bottom>
    </border>
    <border>
      <left>
        <color indexed="63"/>
      </left>
      <right style="thin">
        <color indexed="22"/>
      </right>
      <top>
        <color indexed="63"/>
      </top>
      <bottom>
        <color indexed="63"/>
      </bottom>
    </border>
    <border>
      <left>
        <color indexed="63"/>
      </left>
      <right style="thin">
        <color indexed="22"/>
      </right>
      <top>
        <color indexed="63"/>
      </top>
      <bottom style="thin">
        <color indexed="22"/>
      </bottom>
    </border>
    <border>
      <left style="thin">
        <color indexed="22"/>
      </left>
      <right style="thin">
        <color indexed="22"/>
      </right>
      <top>
        <color indexed="63"/>
      </top>
      <bottom style="thin">
        <color indexed="22"/>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2"/>
      </left>
      <right style="thin">
        <color indexed="16"/>
      </right>
      <top>
        <color indexed="63"/>
      </top>
      <bottom style="thin">
        <color indexed="22"/>
      </bottom>
    </border>
    <border>
      <left style="thin">
        <color indexed="16"/>
      </left>
      <right style="thin">
        <color indexed="22"/>
      </right>
      <top>
        <color indexed="63"/>
      </top>
      <bottom style="thin">
        <color indexed="22"/>
      </bottom>
    </border>
    <border>
      <left style="thin">
        <color indexed="22"/>
      </left>
      <right style="thin">
        <color indexed="16"/>
      </right>
      <top style="thin">
        <color indexed="22"/>
      </top>
      <bottom style="thin">
        <color indexed="22"/>
      </bottom>
    </border>
    <border>
      <left style="thin">
        <color indexed="16"/>
      </left>
      <right style="thin">
        <color indexed="22"/>
      </right>
      <top style="thin">
        <color indexed="22"/>
      </top>
      <bottom style="thin">
        <color indexed="22"/>
      </bottom>
    </border>
    <border>
      <left>
        <color indexed="63"/>
      </left>
      <right>
        <color indexed="63"/>
      </right>
      <top>
        <color indexed="63"/>
      </top>
      <bottom style="thin">
        <color indexed="9"/>
      </bottom>
    </border>
    <border>
      <left>
        <color indexed="63"/>
      </left>
      <right>
        <color indexed="63"/>
      </right>
      <top style="thin">
        <color indexed="9"/>
      </top>
      <bottom style="medium">
        <color indexed="22"/>
      </bottom>
    </border>
    <border>
      <left>
        <color indexed="63"/>
      </left>
      <right>
        <color indexed="63"/>
      </right>
      <top style="thin">
        <color indexed="9"/>
      </top>
      <bottom style="thin">
        <color indexed="9"/>
      </bottom>
    </border>
    <border>
      <left style="thin">
        <color indexed="16"/>
      </left>
      <right>
        <color indexed="63"/>
      </right>
      <top style="thin">
        <color indexed="16"/>
      </top>
      <bottom>
        <color indexed="63"/>
      </bottom>
    </border>
    <border>
      <left>
        <color indexed="63"/>
      </left>
      <right>
        <color indexed="63"/>
      </right>
      <top style="thin">
        <color indexed="16"/>
      </top>
      <bottom>
        <color indexed="63"/>
      </bottom>
    </border>
    <border>
      <left>
        <color indexed="63"/>
      </left>
      <right style="thin">
        <color indexed="16"/>
      </right>
      <top style="thin">
        <color indexed="16"/>
      </top>
      <bottom>
        <color indexed="63"/>
      </bottom>
    </border>
    <border>
      <left style="thin">
        <color indexed="16"/>
      </left>
      <right>
        <color indexed="63"/>
      </right>
      <top>
        <color indexed="63"/>
      </top>
      <bottom>
        <color indexed="63"/>
      </bottom>
    </border>
    <border>
      <left>
        <color indexed="63"/>
      </left>
      <right style="thin">
        <color indexed="16"/>
      </right>
      <top>
        <color indexed="63"/>
      </top>
      <bottom>
        <color indexed="63"/>
      </bottom>
    </border>
    <border>
      <left style="thin">
        <color indexed="16"/>
      </left>
      <right>
        <color indexed="63"/>
      </right>
      <top>
        <color indexed="63"/>
      </top>
      <bottom style="thin">
        <color indexed="16"/>
      </bottom>
    </border>
    <border>
      <left>
        <color indexed="63"/>
      </left>
      <right>
        <color indexed="63"/>
      </right>
      <top>
        <color indexed="63"/>
      </top>
      <bottom style="thin">
        <color indexed="16"/>
      </bottom>
    </border>
    <border>
      <left>
        <color indexed="63"/>
      </left>
      <right style="thin">
        <color indexed="16"/>
      </right>
      <top>
        <color indexed="63"/>
      </top>
      <bottom style="thin">
        <color indexed="16"/>
      </bottom>
    </border>
    <border>
      <left>
        <color indexed="63"/>
      </left>
      <right>
        <color indexed="63"/>
      </right>
      <top style="thick">
        <color indexed="9"/>
      </top>
      <bottom style="thin">
        <color indexed="22"/>
      </bottom>
    </border>
    <border>
      <left>
        <color indexed="63"/>
      </left>
      <right style="thin">
        <color indexed="22"/>
      </right>
      <top style="thick">
        <color indexed="9"/>
      </top>
      <bottom style="thin">
        <color indexed="22"/>
      </bottom>
    </border>
    <border>
      <left>
        <color indexed="63"/>
      </left>
      <right style="thin">
        <color indexed="22"/>
      </right>
      <top>
        <color indexed="63"/>
      </top>
      <bottom style="thick">
        <color indexed="9"/>
      </bottom>
    </border>
    <border>
      <left>
        <color indexed="63"/>
      </left>
      <right>
        <color indexed="63"/>
      </right>
      <top style="medium">
        <color indexed="22"/>
      </top>
      <bottom style="medium">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87">
    <xf numFmtId="0" fontId="0" fillId="0" borderId="0" xfId="0" applyAlignment="1">
      <alignment/>
    </xf>
    <xf numFmtId="0" fontId="1" fillId="2" borderId="0" xfId="0" applyFont="1" applyFill="1" applyBorder="1" applyAlignment="1" applyProtection="1">
      <alignment horizontal="center" vertical="center"/>
      <protection/>
    </xf>
    <xf numFmtId="0" fontId="2" fillId="2" borderId="0" xfId="0" applyFont="1" applyFill="1" applyBorder="1" applyAlignment="1" applyProtection="1">
      <alignment horizontal="left" vertical="center"/>
      <protection/>
    </xf>
    <xf numFmtId="0" fontId="3" fillId="2" borderId="0" xfId="0" applyFont="1" applyFill="1" applyBorder="1" applyAlignment="1" applyProtection="1">
      <alignment horizontal="left" vertical="center"/>
      <protection/>
    </xf>
    <xf numFmtId="0" fontId="1" fillId="2" borderId="0" xfId="0" applyFont="1" applyFill="1" applyBorder="1" applyAlignment="1" applyProtection="1">
      <alignment horizontal="left" vertical="center"/>
      <protection/>
    </xf>
    <xf numFmtId="0" fontId="4" fillId="2" borderId="0" xfId="0" applyFont="1" applyFill="1" applyBorder="1" applyAlignment="1" applyProtection="1">
      <alignment horizontal="left" vertical="center"/>
      <protection/>
    </xf>
    <xf numFmtId="0" fontId="23" fillId="2" borderId="0" xfId="0" applyFont="1" applyFill="1" applyBorder="1" applyAlignment="1">
      <alignment horizontal="right" vertical="center"/>
    </xf>
    <xf numFmtId="164" fontId="7" fillId="3" borderId="0" xfId="0" applyNumberFormat="1" applyFont="1" applyFill="1" applyBorder="1" applyAlignment="1" applyProtection="1">
      <alignment vertical="center"/>
      <protection/>
    </xf>
    <xf numFmtId="164" fontId="11" fillId="4" borderId="0" xfId="0" applyNumberFormat="1" applyFont="1" applyFill="1" applyBorder="1" applyAlignment="1" applyProtection="1">
      <alignment horizontal="center" vertical="center"/>
      <protection/>
    </xf>
    <xf numFmtId="164" fontId="11" fillId="3" borderId="0" xfId="0" applyNumberFormat="1" applyFont="1" applyFill="1" applyBorder="1" applyAlignment="1" applyProtection="1">
      <alignment horizontal="center" vertical="center"/>
      <protection/>
    </xf>
    <xf numFmtId="0" fontId="0" fillId="3" borderId="0" xfId="0" applyNumberFormat="1" applyFont="1" applyFill="1" applyBorder="1" applyAlignment="1" applyProtection="1">
      <alignment vertical="center"/>
      <protection/>
    </xf>
    <xf numFmtId="0" fontId="19" fillId="3" borderId="0" xfId="0" applyNumberFormat="1" applyFont="1" applyFill="1" applyBorder="1" applyAlignment="1" applyProtection="1">
      <alignment vertical="center"/>
      <protection/>
    </xf>
    <xf numFmtId="0" fontId="6" fillId="3" borderId="0" xfId="0" applyNumberFormat="1" applyFont="1" applyFill="1" applyBorder="1" applyAlignment="1" applyProtection="1">
      <alignment vertical="center"/>
      <protection/>
    </xf>
    <xf numFmtId="0" fontId="8" fillId="3" borderId="0" xfId="0" applyNumberFormat="1" applyFont="1" applyFill="1" applyBorder="1" applyAlignment="1" applyProtection="1">
      <alignment vertical="center"/>
      <protection/>
    </xf>
    <xf numFmtId="0" fontId="19" fillId="3" borderId="0" xfId="0" applyNumberFormat="1" applyFont="1" applyFill="1" applyBorder="1" applyAlignment="1" applyProtection="1">
      <alignment horizontal="left" vertical="center"/>
      <protection/>
    </xf>
    <xf numFmtId="0" fontId="6" fillId="3" borderId="0" xfId="0" applyNumberFormat="1" applyFont="1" applyFill="1" applyBorder="1" applyAlignment="1" applyProtection="1">
      <alignment horizontal="left" vertical="center"/>
      <protection/>
    </xf>
    <xf numFmtId="0" fontId="13" fillId="5" borderId="0" xfId="0" applyNumberFormat="1" applyFont="1" applyFill="1" applyBorder="1" applyAlignment="1" applyProtection="1">
      <alignment horizontal="center" vertical="center"/>
      <protection/>
    </xf>
    <xf numFmtId="0" fontId="12" fillId="3" borderId="0" xfId="0" applyNumberFormat="1" applyFont="1" applyFill="1" applyBorder="1" applyAlignment="1" applyProtection="1">
      <alignment vertical="center"/>
      <protection/>
    </xf>
    <xf numFmtId="0" fontId="8" fillId="5" borderId="0" xfId="0" applyNumberFormat="1" applyFont="1" applyFill="1" applyBorder="1" applyAlignment="1" applyProtection="1">
      <alignment horizontal="center" vertical="center"/>
      <protection/>
    </xf>
    <xf numFmtId="0" fontId="5" fillId="5" borderId="0" xfId="0" applyNumberFormat="1" applyFont="1" applyFill="1" applyBorder="1" applyAlignment="1" applyProtection="1">
      <alignment horizontal="center" vertical="center"/>
      <protection/>
    </xf>
    <xf numFmtId="0" fontId="14" fillId="5" borderId="0" xfId="0" applyNumberFormat="1" applyFont="1" applyFill="1" applyBorder="1" applyAlignment="1" applyProtection="1">
      <alignment horizontal="center" vertical="center"/>
      <protection/>
    </xf>
    <xf numFmtId="1" fontId="7" fillId="3" borderId="0" xfId="0" applyNumberFormat="1" applyFont="1" applyFill="1" applyBorder="1" applyAlignment="1" applyProtection="1">
      <alignment vertical="center"/>
      <protection/>
    </xf>
    <xf numFmtId="2" fontId="11" fillId="4" borderId="0" xfId="0" applyNumberFormat="1" applyFont="1" applyFill="1" applyBorder="1" applyAlignment="1" applyProtection="1">
      <alignment horizontal="center" vertical="center"/>
      <protection/>
    </xf>
    <xf numFmtId="2" fontId="11" fillId="3" borderId="0" xfId="0" applyNumberFormat="1" applyFont="1" applyFill="1" applyBorder="1" applyAlignment="1" applyProtection="1">
      <alignment horizontal="center" vertical="center"/>
      <protection/>
    </xf>
    <xf numFmtId="0" fontId="4" fillId="2" borderId="1" xfId="0" applyNumberFormat="1" applyFont="1" applyFill="1" applyBorder="1" applyAlignment="1" applyProtection="1">
      <alignment horizontal="center" vertical="center"/>
      <protection/>
    </xf>
    <xf numFmtId="0" fontId="3" fillId="2" borderId="1" xfId="0" applyNumberFormat="1" applyFont="1" applyFill="1" applyBorder="1" applyAlignment="1" applyProtection="1">
      <alignment horizontal="center" vertical="center"/>
      <protection/>
    </xf>
    <xf numFmtId="0" fontId="9" fillId="6" borderId="2" xfId="0" applyNumberFormat="1" applyFont="1" applyFill="1" applyBorder="1" applyAlignment="1" applyProtection="1">
      <alignment vertical="center"/>
      <protection/>
    </xf>
    <xf numFmtId="0" fontId="10" fillId="6" borderId="2" xfId="0" applyNumberFormat="1" applyFont="1" applyFill="1" applyBorder="1" applyAlignment="1" applyProtection="1">
      <alignment horizontal="left" vertical="center"/>
      <protection/>
    </xf>
    <xf numFmtId="0" fontId="9" fillId="6" borderId="2" xfId="0" applyNumberFormat="1" applyFont="1" applyFill="1" applyBorder="1" applyAlignment="1" applyProtection="1">
      <alignment horizontal="left" vertical="center"/>
      <protection/>
    </xf>
    <xf numFmtId="0" fontId="8" fillId="3" borderId="0" xfId="0" applyNumberFormat="1" applyFont="1" applyFill="1" applyBorder="1" applyAlignment="1" applyProtection="1">
      <alignment horizontal="right" vertical="center"/>
      <protection/>
    </xf>
    <xf numFmtId="0" fontId="26" fillId="3" borderId="0" xfId="0" applyNumberFormat="1" applyFont="1" applyFill="1" applyBorder="1" applyAlignment="1" applyProtection="1">
      <alignment vertical="center"/>
      <protection/>
    </xf>
    <xf numFmtId="164" fontId="21" fillId="4" borderId="0" xfId="0" applyNumberFormat="1" applyFont="1" applyFill="1" applyBorder="1" applyAlignment="1" applyProtection="1">
      <alignment horizontal="center" vertical="center"/>
      <protection/>
    </xf>
    <xf numFmtId="2" fontId="21" fillId="4" borderId="0" xfId="0" applyNumberFormat="1" applyFont="1" applyFill="1" applyBorder="1" applyAlignment="1" applyProtection="1">
      <alignment horizontal="center" vertical="center"/>
      <protection/>
    </xf>
    <xf numFmtId="0" fontId="9" fillId="6" borderId="3" xfId="0" applyNumberFormat="1" applyFont="1" applyFill="1" applyBorder="1" applyAlignment="1" applyProtection="1">
      <alignment vertical="center"/>
      <protection/>
    </xf>
    <xf numFmtId="0" fontId="9" fillId="6" borderId="4" xfId="0" applyNumberFormat="1" applyFont="1" applyFill="1" applyBorder="1" applyAlignment="1" applyProtection="1">
      <alignment horizontal="left" vertical="center" indent="1"/>
      <protection/>
    </xf>
    <xf numFmtId="0" fontId="11" fillId="3" borderId="5" xfId="0" applyNumberFormat="1" applyFont="1" applyFill="1" applyBorder="1" applyAlignment="1" applyProtection="1">
      <alignment vertical="center"/>
      <protection/>
    </xf>
    <xf numFmtId="0" fontId="0" fillId="3" borderId="6" xfId="0" applyNumberFormat="1" applyFont="1" applyFill="1" applyBorder="1" applyAlignment="1" applyProtection="1">
      <alignment vertical="center"/>
      <protection/>
    </xf>
    <xf numFmtId="0" fontId="0" fillId="3" borderId="5" xfId="0" applyNumberFormat="1" applyFont="1" applyFill="1" applyBorder="1" applyAlignment="1" applyProtection="1">
      <alignment vertical="center"/>
      <protection/>
    </xf>
    <xf numFmtId="0" fontId="13" fillId="5" borderId="5" xfId="0" applyNumberFormat="1" applyFont="1" applyFill="1" applyBorder="1" applyAlignment="1" applyProtection="1">
      <alignment horizontal="center" vertical="center"/>
      <protection/>
    </xf>
    <xf numFmtId="0" fontId="13" fillId="5" borderId="6" xfId="0" applyNumberFormat="1" applyFont="1" applyFill="1" applyBorder="1" applyAlignment="1" applyProtection="1">
      <alignment horizontal="center" vertical="center"/>
      <protection/>
    </xf>
    <xf numFmtId="0" fontId="8" fillId="5" borderId="5" xfId="0" applyNumberFormat="1" applyFont="1" applyFill="1" applyBorder="1" applyAlignment="1" applyProtection="1">
      <alignment horizontal="center" vertical="center"/>
      <protection/>
    </xf>
    <xf numFmtId="0" fontId="8" fillId="5" borderId="6" xfId="0" applyNumberFormat="1" applyFont="1" applyFill="1" applyBorder="1" applyAlignment="1" applyProtection="1">
      <alignment horizontal="center" vertical="center"/>
      <protection/>
    </xf>
    <xf numFmtId="2" fontId="21" fillId="4" borderId="5" xfId="0" applyNumberFormat="1" applyFont="1" applyFill="1" applyBorder="1" applyAlignment="1" applyProtection="1">
      <alignment horizontal="center" vertical="center"/>
      <protection/>
    </xf>
    <xf numFmtId="170" fontId="21" fillId="4" borderId="6" xfId="0" applyNumberFormat="1" applyFont="1" applyFill="1" applyBorder="1" applyAlignment="1" applyProtection="1">
      <alignment horizontal="center" vertical="center"/>
      <protection/>
    </xf>
    <xf numFmtId="2" fontId="11" fillId="3" borderId="5" xfId="0" applyNumberFormat="1" applyFont="1" applyFill="1" applyBorder="1" applyAlignment="1" applyProtection="1">
      <alignment horizontal="center" vertical="center"/>
      <protection/>
    </xf>
    <xf numFmtId="170" fontId="21" fillId="3" borderId="6" xfId="0" applyNumberFormat="1" applyFont="1" applyFill="1" applyBorder="1" applyAlignment="1" applyProtection="1">
      <alignment horizontal="center" vertical="center"/>
      <protection/>
    </xf>
    <xf numFmtId="170" fontId="11" fillId="3" borderId="6" xfId="0" applyNumberFormat="1" applyFont="1" applyFill="1" applyBorder="1" applyAlignment="1" applyProtection="1">
      <alignment horizontal="center" vertical="center"/>
      <protection/>
    </xf>
    <xf numFmtId="0" fontId="14" fillId="5" borderId="5" xfId="0" applyNumberFormat="1" applyFont="1" applyFill="1" applyBorder="1" applyAlignment="1" applyProtection="1">
      <alignment horizontal="center" vertical="center"/>
      <protection/>
    </xf>
    <xf numFmtId="0" fontId="14" fillId="5" borderId="6" xfId="0" applyNumberFormat="1" applyFont="1" applyFill="1" applyBorder="1" applyAlignment="1" applyProtection="1">
      <alignment horizontal="center" vertical="center"/>
      <protection/>
    </xf>
    <xf numFmtId="0" fontId="4" fillId="2" borderId="7" xfId="0" applyNumberFormat="1" applyFont="1" applyFill="1" applyBorder="1" applyAlignment="1" applyProtection="1">
      <alignment horizontal="center" vertical="center"/>
      <protection/>
    </xf>
    <xf numFmtId="0" fontId="11" fillId="3" borderId="6" xfId="0" applyNumberFormat="1" applyFont="1" applyFill="1" applyBorder="1" applyAlignment="1" applyProtection="1">
      <alignment vertical="center"/>
      <protection/>
    </xf>
    <xf numFmtId="0" fontId="12" fillId="3" borderId="6" xfId="0" applyNumberFormat="1" applyFont="1" applyFill="1" applyBorder="1" applyAlignment="1" applyProtection="1">
      <alignment vertical="center"/>
      <protection/>
    </xf>
    <xf numFmtId="0" fontId="12" fillId="3" borderId="5" xfId="0" applyNumberFormat="1" applyFont="1" applyFill="1" applyBorder="1" applyAlignment="1" applyProtection="1">
      <alignment vertical="center"/>
      <protection/>
    </xf>
    <xf numFmtId="0" fontId="29" fillId="3" borderId="0" xfId="0" applyFont="1" applyFill="1" applyAlignment="1">
      <alignment/>
    </xf>
    <xf numFmtId="0" fontId="5" fillId="2"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0" fillId="3" borderId="0" xfId="0" applyFill="1" applyBorder="1" applyAlignment="1" applyProtection="1">
      <alignment vertical="center"/>
      <protection/>
    </xf>
    <xf numFmtId="0" fontId="0" fillId="3" borderId="8" xfId="0" applyFill="1" applyBorder="1" applyAlignment="1" applyProtection="1">
      <alignment vertical="center"/>
      <protection/>
    </xf>
    <xf numFmtId="0" fontId="0" fillId="3" borderId="9" xfId="0" applyFill="1" applyBorder="1" applyAlignment="1" applyProtection="1">
      <alignment vertical="center"/>
      <protection/>
    </xf>
    <xf numFmtId="0" fontId="0" fillId="3" borderId="10" xfId="0" applyFill="1" applyBorder="1" applyAlignment="1" applyProtection="1">
      <alignment vertical="center"/>
      <protection/>
    </xf>
    <xf numFmtId="0" fontId="11" fillId="6" borderId="10" xfId="0" applyFont="1" applyFill="1" applyBorder="1" applyAlignment="1" applyProtection="1">
      <alignment vertical="center"/>
      <protection/>
    </xf>
    <xf numFmtId="0" fontId="11" fillId="6" borderId="11" xfId="0" applyFont="1" applyFill="1" applyBorder="1" applyAlignment="1" applyProtection="1">
      <alignment vertical="center"/>
      <protection/>
    </xf>
    <xf numFmtId="0" fontId="21" fillId="6" borderId="11" xfId="0" applyFont="1" applyFill="1" applyBorder="1" applyAlignment="1" applyProtection="1">
      <alignment vertical="center"/>
      <protection/>
    </xf>
    <xf numFmtId="0" fontId="1" fillId="6" borderId="11" xfId="0" applyFont="1" applyFill="1" applyBorder="1" applyAlignment="1" applyProtection="1">
      <alignment horizontal="right" vertical="center"/>
      <protection/>
    </xf>
    <xf numFmtId="0" fontId="11" fillId="6" borderId="12" xfId="0" applyFont="1" applyFill="1" applyBorder="1" applyAlignment="1" applyProtection="1">
      <alignment vertical="center"/>
      <protection/>
    </xf>
    <xf numFmtId="0" fontId="11" fillId="3" borderId="8" xfId="0" applyFont="1" applyFill="1" applyBorder="1" applyAlignment="1" applyProtection="1">
      <alignment vertical="center"/>
      <protection/>
    </xf>
    <xf numFmtId="0" fontId="22" fillId="3" borderId="13" xfId="0" applyFont="1" applyFill="1" applyBorder="1" applyAlignment="1" applyProtection="1">
      <alignment horizontal="left" vertical="center"/>
      <protection/>
    </xf>
    <xf numFmtId="0" fontId="22" fillId="3" borderId="14" xfId="0" applyFont="1" applyFill="1" applyBorder="1" applyAlignment="1" applyProtection="1">
      <alignment horizontal="left" vertical="center"/>
      <protection/>
    </xf>
    <xf numFmtId="0" fontId="22" fillId="7" borderId="14" xfId="0" applyFont="1" applyFill="1" applyBorder="1" applyAlignment="1" applyProtection="1">
      <alignment horizontal="left" vertical="center"/>
      <protection/>
    </xf>
    <xf numFmtId="0" fontId="25" fillId="3" borderId="14" xfId="0" applyFont="1" applyFill="1" applyBorder="1" applyAlignment="1" applyProtection="1">
      <alignment horizontal="right" vertical="center"/>
      <protection/>
    </xf>
    <xf numFmtId="0" fontId="11" fillId="3" borderId="12" xfId="0" applyFont="1" applyFill="1" applyBorder="1" applyAlignment="1" applyProtection="1">
      <alignment vertical="center"/>
      <protection/>
    </xf>
    <xf numFmtId="0" fontId="19" fillId="3" borderId="15" xfId="0" applyFont="1" applyFill="1" applyBorder="1" applyAlignment="1" applyProtection="1">
      <alignment vertical="center"/>
      <protection/>
    </xf>
    <xf numFmtId="0" fontId="19" fillId="3" borderId="0" xfId="0" applyFont="1" applyFill="1" applyBorder="1" applyAlignment="1" applyProtection="1">
      <alignment vertical="center"/>
      <protection/>
    </xf>
    <xf numFmtId="0" fontId="20" fillId="3" borderId="0" xfId="0" applyFont="1" applyFill="1" applyBorder="1" applyAlignment="1" applyProtection="1">
      <alignment horizontal="right" vertical="center"/>
      <protection/>
    </xf>
    <xf numFmtId="0" fontId="7" fillId="3" borderId="15" xfId="0" applyFont="1" applyFill="1" applyBorder="1" applyAlignment="1" applyProtection="1">
      <alignment horizontal="right" vertical="center"/>
      <protection/>
    </xf>
    <xf numFmtId="0" fontId="6" fillId="3" borderId="0" xfId="0" applyFont="1" applyFill="1" applyBorder="1" applyAlignment="1" applyProtection="1">
      <alignment horizontal="right" vertical="center"/>
      <protection/>
    </xf>
    <xf numFmtId="172" fontId="19" fillId="3" borderId="0" xfId="0" applyNumberFormat="1" applyFont="1" applyFill="1" applyBorder="1" applyAlignment="1" applyProtection="1">
      <alignment horizontal="center" vertical="center"/>
      <protection/>
    </xf>
    <xf numFmtId="0" fontId="19" fillId="3" borderId="16" xfId="0" applyFont="1" applyFill="1" applyBorder="1" applyAlignment="1" applyProtection="1">
      <alignment vertical="center"/>
      <protection/>
    </xf>
    <xf numFmtId="0" fontId="19" fillId="3" borderId="16" xfId="0" applyFont="1" applyFill="1" applyBorder="1" applyAlignment="1" applyProtection="1">
      <alignment horizontal="right" vertical="center"/>
      <protection/>
    </xf>
    <xf numFmtId="0" fontId="0" fillId="3" borderId="12" xfId="0" applyFill="1" applyBorder="1" applyAlignment="1" applyProtection="1">
      <alignment vertical="center"/>
      <protection/>
    </xf>
    <xf numFmtId="0" fontId="0" fillId="3" borderId="17" xfId="0" applyFill="1" applyBorder="1" applyAlignment="1" applyProtection="1">
      <alignment vertical="center"/>
      <protection/>
    </xf>
    <xf numFmtId="0" fontId="0" fillId="3" borderId="18" xfId="0" applyFill="1" applyBorder="1" applyAlignment="1" applyProtection="1">
      <alignment vertical="center"/>
      <protection/>
    </xf>
    <xf numFmtId="0" fontId="0" fillId="3" borderId="19" xfId="0" applyFill="1" applyBorder="1" applyAlignment="1" applyProtection="1">
      <alignment vertical="center"/>
      <protection/>
    </xf>
    <xf numFmtId="0" fontId="0" fillId="3" borderId="15" xfId="0" applyFill="1" applyBorder="1" applyAlignment="1" applyProtection="1">
      <alignment vertical="center"/>
      <protection/>
    </xf>
    <xf numFmtId="0" fontId="27" fillId="3" borderId="0" xfId="0" applyFont="1" applyFill="1" applyBorder="1" applyAlignment="1" applyProtection="1">
      <alignment horizontal="center" vertical="center" wrapText="1"/>
      <protection/>
    </xf>
    <xf numFmtId="0" fontId="27" fillId="3" borderId="15" xfId="0" applyFont="1" applyFill="1" applyBorder="1" applyAlignment="1" applyProtection="1">
      <alignment horizontal="center" vertical="center" wrapText="1"/>
      <protection/>
    </xf>
    <xf numFmtId="0" fontId="0" fillId="3" borderId="20" xfId="0" applyFill="1" applyBorder="1" applyAlignment="1" applyProtection="1">
      <alignment vertical="center"/>
      <protection/>
    </xf>
    <xf numFmtId="0" fontId="0" fillId="3" borderId="16" xfId="0" applyFill="1" applyBorder="1" applyAlignment="1" applyProtection="1">
      <alignment vertical="center"/>
      <protection/>
    </xf>
    <xf numFmtId="0" fontId="0" fillId="3" borderId="21" xfId="0" applyFill="1" applyBorder="1" applyAlignment="1" applyProtection="1">
      <alignment vertical="center"/>
      <protection/>
    </xf>
    <xf numFmtId="0" fontId="0" fillId="0" borderId="8" xfId="0" applyFill="1" applyBorder="1" applyAlignment="1" applyProtection="1">
      <alignment vertical="center"/>
      <protection/>
    </xf>
    <xf numFmtId="0" fontId="0" fillId="0" borderId="22" xfId="0" applyFill="1" applyBorder="1" applyAlignment="1" applyProtection="1">
      <alignment vertical="center"/>
      <protection/>
    </xf>
    <xf numFmtId="0" fontId="0" fillId="3" borderId="22" xfId="0" applyFill="1" applyBorder="1" applyAlignment="1" applyProtection="1">
      <alignment vertical="center"/>
      <protection/>
    </xf>
    <xf numFmtId="0" fontId="0" fillId="8" borderId="8" xfId="0" applyFill="1" applyBorder="1" applyAlignment="1" applyProtection="1">
      <alignment vertical="center"/>
      <protection/>
    </xf>
    <xf numFmtId="0" fontId="0" fillId="3" borderId="13" xfId="0" applyFill="1" applyBorder="1" applyAlignment="1" applyProtection="1">
      <alignment vertical="center"/>
      <protection/>
    </xf>
    <xf numFmtId="0" fontId="0" fillId="3" borderId="14" xfId="0" applyFill="1" applyBorder="1" applyAlignment="1" applyProtection="1">
      <alignment vertical="center"/>
      <protection/>
    </xf>
    <xf numFmtId="0" fontId="27" fillId="3" borderId="14" xfId="0" applyFont="1" applyFill="1" applyBorder="1" applyAlignment="1" applyProtection="1">
      <alignment horizontal="center" vertical="center" wrapText="1"/>
      <protection/>
    </xf>
    <xf numFmtId="0" fontId="27" fillId="3" borderId="18" xfId="0" applyFont="1" applyFill="1" applyBorder="1" applyAlignment="1" applyProtection="1">
      <alignment horizontal="center" vertical="center" wrapText="1"/>
      <protection/>
    </xf>
    <xf numFmtId="0" fontId="27" fillId="3" borderId="20" xfId="0" applyFont="1" applyFill="1" applyBorder="1" applyAlignment="1" applyProtection="1">
      <alignment horizontal="center" vertical="center" wrapText="1"/>
      <protection/>
    </xf>
    <xf numFmtId="0" fontId="27" fillId="3" borderId="13" xfId="0" applyFont="1" applyFill="1" applyBorder="1" applyAlignment="1" applyProtection="1">
      <alignment horizontal="center" vertical="center" wrapText="1"/>
      <protection/>
    </xf>
    <xf numFmtId="2" fontId="7" fillId="3" borderId="0" xfId="0" applyNumberFormat="1" applyFont="1" applyFill="1" applyBorder="1" applyAlignment="1" applyProtection="1">
      <alignment vertical="center"/>
      <protection/>
    </xf>
    <xf numFmtId="0" fontId="0" fillId="3" borderId="0" xfId="0" applyFill="1" applyBorder="1" applyAlignment="1">
      <alignment/>
    </xf>
    <xf numFmtId="0" fontId="0" fillId="3" borderId="0" xfId="0" applyFill="1" applyBorder="1" applyAlignment="1">
      <alignment horizontal="left" vertical="top"/>
    </xf>
    <xf numFmtId="0" fontId="6" fillId="3" borderId="0" xfId="0" applyFont="1" applyFill="1" applyBorder="1" applyAlignment="1">
      <alignment horizontal="right" vertical="top"/>
    </xf>
    <xf numFmtId="0" fontId="31" fillId="3" borderId="0" xfId="0" applyFont="1" applyFill="1" applyBorder="1" applyAlignment="1">
      <alignment horizontal="left" vertical="top" wrapText="1"/>
    </xf>
    <xf numFmtId="0" fontId="29" fillId="3" borderId="0" xfId="0" applyFont="1" applyFill="1" applyBorder="1" applyAlignment="1">
      <alignment horizontal="center" vertical="top"/>
    </xf>
    <xf numFmtId="0" fontId="29" fillId="3" borderId="0" xfId="0" applyFont="1" applyFill="1" applyBorder="1" applyAlignment="1">
      <alignment horizontal="left" vertical="top" wrapText="1"/>
    </xf>
    <xf numFmtId="0" fontId="29" fillId="3" borderId="23" xfId="0" applyFont="1" applyFill="1" applyBorder="1" applyAlignment="1">
      <alignment horizontal="center" vertical="top"/>
    </xf>
    <xf numFmtId="0" fontId="29" fillId="3" borderId="23" xfId="0" applyFont="1" applyFill="1" applyBorder="1" applyAlignment="1">
      <alignment horizontal="left" vertical="top" wrapText="1"/>
    </xf>
    <xf numFmtId="0" fontId="29" fillId="3" borderId="24" xfId="0" applyFont="1" applyFill="1" applyBorder="1" applyAlignment="1">
      <alignment horizontal="center" vertical="top"/>
    </xf>
    <xf numFmtId="0" fontId="0" fillId="9" borderId="0" xfId="0" applyFill="1" applyBorder="1" applyAlignment="1">
      <alignment/>
    </xf>
    <xf numFmtId="0" fontId="34" fillId="3" borderId="24" xfId="0" applyFont="1" applyFill="1" applyBorder="1" applyAlignment="1">
      <alignment horizontal="left" vertical="top" indent="1"/>
    </xf>
    <xf numFmtId="0" fontId="6" fillId="3" borderId="23" xfId="0" applyFont="1" applyFill="1" applyBorder="1" applyAlignment="1">
      <alignment horizontal="left" vertical="top" indent="1"/>
    </xf>
    <xf numFmtId="0" fontId="0" fillId="3" borderId="23" xfId="0" applyFont="1" applyFill="1" applyBorder="1" applyAlignment="1">
      <alignment horizontal="left" vertical="top" indent="1"/>
    </xf>
    <xf numFmtId="0" fontId="34" fillId="3" borderId="0" xfId="0" applyFont="1" applyFill="1" applyBorder="1" applyAlignment="1">
      <alignment horizontal="left" vertical="top" indent="1"/>
    </xf>
    <xf numFmtId="0" fontId="6" fillId="3" borderId="0" xfId="0" applyFont="1" applyFill="1" applyBorder="1" applyAlignment="1">
      <alignment horizontal="left" vertical="top" indent="1"/>
    </xf>
    <xf numFmtId="0" fontId="28" fillId="3" borderId="23" xfId="0" applyFont="1" applyFill="1" applyBorder="1" applyAlignment="1">
      <alignment horizontal="right" vertical="top"/>
    </xf>
    <xf numFmtId="0" fontId="28" fillId="3" borderId="0" xfId="0" applyFont="1" applyFill="1" applyBorder="1" applyAlignment="1">
      <alignment horizontal="right" vertical="top"/>
    </xf>
    <xf numFmtId="0" fontId="20" fillId="9" borderId="0" xfId="0" applyFont="1" applyFill="1" applyBorder="1" applyAlignment="1">
      <alignment/>
    </xf>
    <xf numFmtId="0" fontId="20" fillId="3" borderId="0" xfId="0" applyFont="1" applyFill="1" applyBorder="1" applyAlignment="1">
      <alignment/>
    </xf>
    <xf numFmtId="0" fontId="20" fillId="3" borderId="0" xfId="0" applyFont="1" applyFill="1" applyBorder="1" applyAlignment="1">
      <alignment horizontal="left" vertical="top"/>
    </xf>
    <xf numFmtId="0" fontId="28" fillId="3" borderId="24" xfId="0" applyFont="1" applyFill="1" applyBorder="1" applyAlignment="1">
      <alignment horizontal="right" vertical="top"/>
    </xf>
    <xf numFmtId="0" fontId="29" fillId="3" borderId="0" xfId="0" applyFont="1" applyFill="1" applyAlignment="1">
      <alignment/>
    </xf>
    <xf numFmtId="0" fontId="2" fillId="2" borderId="0" xfId="0" applyFont="1" applyFill="1" applyBorder="1" applyAlignment="1" applyProtection="1">
      <alignment horizontal="left" vertical="center" indent="1"/>
      <protection/>
    </xf>
    <xf numFmtId="0" fontId="31" fillId="3" borderId="23" xfId="0" applyFont="1" applyFill="1" applyBorder="1" applyAlignment="1">
      <alignment horizontal="left" vertical="top" wrapText="1"/>
    </xf>
    <xf numFmtId="0" fontId="7" fillId="8" borderId="23" xfId="0" applyFont="1" applyFill="1" applyBorder="1" applyAlignment="1">
      <alignment horizontal="left" vertical="center" wrapText="1"/>
    </xf>
    <xf numFmtId="0" fontId="7" fillId="8" borderId="0" xfId="0" applyFont="1" applyFill="1" applyBorder="1" applyAlignment="1">
      <alignment horizontal="left" vertical="center" wrapText="1"/>
    </xf>
    <xf numFmtId="164" fontId="13" fillId="5" borderId="0" xfId="0" applyNumberFormat="1" applyFont="1" applyFill="1" applyBorder="1" applyAlignment="1" applyProtection="1">
      <alignment horizontal="center" vertical="center"/>
      <protection/>
    </xf>
    <xf numFmtId="0" fontId="7" fillId="8" borderId="0" xfId="0" applyFont="1" applyFill="1" applyBorder="1" applyAlignment="1">
      <alignment horizontal="left" vertical="center"/>
    </xf>
    <xf numFmtId="0" fontId="7" fillId="8" borderId="23" xfId="0" applyFont="1" applyFill="1" applyBorder="1" applyAlignment="1">
      <alignment horizontal="left" vertical="center"/>
    </xf>
    <xf numFmtId="0" fontId="19" fillId="3" borderId="19"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20" fillId="3" borderId="16" xfId="0" applyFont="1" applyFill="1" applyBorder="1" applyAlignment="1" applyProtection="1">
      <alignment horizontal="right" vertical="center"/>
      <protection/>
    </xf>
    <xf numFmtId="0" fontId="7" fillId="3" borderId="16" xfId="0" applyFont="1" applyFill="1" applyBorder="1" applyAlignment="1" applyProtection="1">
      <alignment horizontal="left" vertical="center"/>
      <protection/>
    </xf>
    <xf numFmtId="0" fontId="7" fillId="3" borderId="16" xfId="0" applyFont="1" applyFill="1" applyBorder="1" applyAlignment="1" applyProtection="1">
      <alignment horizontal="right" vertical="center"/>
      <protection/>
    </xf>
    <xf numFmtId="0" fontId="27" fillId="3" borderId="25" xfId="0" applyFont="1" applyFill="1" applyBorder="1" applyAlignment="1" applyProtection="1">
      <alignment horizontal="center" vertical="center" wrapText="1"/>
      <protection/>
    </xf>
    <xf numFmtId="0" fontId="27" fillId="3" borderId="26" xfId="0" applyFont="1" applyFill="1" applyBorder="1" applyAlignment="1" applyProtection="1">
      <alignment horizontal="center" vertical="center" wrapText="1"/>
      <protection/>
    </xf>
    <xf numFmtId="0" fontId="27" fillId="3" borderId="27" xfId="0" applyFont="1" applyFill="1" applyBorder="1" applyAlignment="1" applyProtection="1">
      <alignment horizontal="center" vertical="center" wrapText="1"/>
      <protection/>
    </xf>
    <xf numFmtId="0" fontId="27" fillId="3" borderId="28" xfId="0" applyFont="1" applyFill="1" applyBorder="1" applyAlignment="1" applyProtection="1">
      <alignment horizontal="center" vertical="center" wrapText="1"/>
      <protection/>
    </xf>
    <xf numFmtId="0" fontId="20" fillId="3" borderId="0" xfId="0" applyFont="1" applyFill="1" applyBorder="1" applyAlignment="1">
      <alignment horizontal="right" vertical="top"/>
    </xf>
    <xf numFmtId="0" fontId="0" fillId="8" borderId="0" xfId="0" applyFill="1" applyBorder="1" applyAlignment="1">
      <alignment horizontal="right"/>
    </xf>
    <xf numFmtId="0" fontId="34" fillId="3" borderId="23" xfId="0" applyFont="1" applyFill="1" applyBorder="1" applyAlignment="1">
      <alignment horizontal="left" vertical="top" indent="1"/>
    </xf>
    <xf numFmtId="0" fontId="35" fillId="3" borderId="0" xfId="0" applyFont="1" applyFill="1" applyBorder="1" applyAlignment="1">
      <alignment horizontal="left" vertical="top"/>
    </xf>
    <xf numFmtId="0" fontId="19" fillId="9" borderId="29" xfId="0" applyFont="1" applyFill="1" applyBorder="1" applyAlignment="1">
      <alignment horizontal="right" vertical="center"/>
    </xf>
    <xf numFmtId="1" fontId="7" fillId="7" borderId="29" xfId="0" applyNumberFormat="1" applyFont="1" applyFill="1" applyBorder="1" applyAlignment="1" applyProtection="1">
      <alignment horizontal="center" vertical="center"/>
      <protection locked="0"/>
    </xf>
    <xf numFmtId="0" fontId="19" fillId="9" borderId="30" xfId="0" applyFont="1" applyFill="1" applyBorder="1" applyAlignment="1">
      <alignment horizontal="right" vertical="center"/>
    </xf>
    <xf numFmtId="164" fontId="7" fillId="7" borderId="30" xfId="0" applyNumberFormat="1" applyFont="1" applyFill="1" applyBorder="1" applyAlignment="1" applyProtection="1">
      <alignment horizontal="center" vertical="center"/>
      <protection locked="0"/>
    </xf>
    <xf numFmtId="0" fontId="7" fillId="7" borderId="30" xfId="0" applyFont="1" applyFill="1" applyBorder="1" applyAlignment="1" applyProtection="1">
      <alignment horizontal="center" vertical="center"/>
      <protection locked="0"/>
    </xf>
    <xf numFmtId="0" fontId="22" fillId="7" borderId="29" xfId="0" applyFont="1" applyFill="1" applyBorder="1" applyAlignment="1" applyProtection="1">
      <alignment horizontal="center"/>
      <protection locked="0"/>
    </xf>
    <xf numFmtId="0" fontId="19" fillId="9" borderId="31" xfId="0" applyFont="1" applyFill="1" applyBorder="1" applyAlignment="1">
      <alignment horizontal="right" vertical="center"/>
    </xf>
    <xf numFmtId="0" fontId="22" fillId="7" borderId="31" xfId="0" applyFont="1" applyFill="1" applyBorder="1" applyAlignment="1" applyProtection="1">
      <alignment horizontal="center"/>
      <protection locked="0"/>
    </xf>
    <xf numFmtId="0" fontId="22" fillId="7" borderId="30" xfId="0" applyFont="1" applyFill="1" applyBorder="1" applyAlignment="1" applyProtection="1">
      <alignment horizontal="center"/>
      <protection locked="0"/>
    </xf>
    <xf numFmtId="164" fontId="7" fillId="7" borderId="29" xfId="0" applyNumberFormat="1" applyFont="1" applyFill="1" applyBorder="1" applyAlignment="1" applyProtection="1">
      <alignment horizontal="center" vertical="center"/>
      <protection locked="0"/>
    </xf>
    <xf numFmtId="0" fontId="7" fillId="7" borderId="29" xfId="0" applyFont="1" applyFill="1" applyBorder="1" applyAlignment="1" applyProtection="1">
      <alignment horizontal="center" vertical="center"/>
      <protection locked="0"/>
    </xf>
    <xf numFmtId="0" fontId="11" fillId="0" borderId="1" xfId="0" applyNumberFormat="1" applyFont="1" applyFill="1" applyBorder="1" applyAlignment="1" applyProtection="1">
      <alignment vertical="center"/>
      <protection/>
    </xf>
    <xf numFmtId="0" fontId="11" fillId="0" borderId="1" xfId="0" applyNumberFormat="1" applyFont="1" applyFill="1" applyBorder="1" applyAlignment="1" applyProtection="1">
      <alignment horizontal="right" vertical="center"/>
      <protection/>
    </xf>
    <xf numFmtId="0" fontId="37" fillId="2" borderId="0" xfId="0" applyFont="1" applyFill="1" applyAlignment="1">
      <alignment horizontal="right" vertical="center"/>
    </xf>
    <xf numFmtId="0" fontId="9" fillId="2" borderId="0" xfId="0" applyFont="1" applyFill="1" applyBorder="1" applyAlignment="1" applyProtection="1">
      <alignment horizontal="right" vertical="center"/>
      <protection/>
    </xf>
    <xf numFmtId="0" fontId="38" fillId="8" borderId="0" xfId="0" applyFont="1" applyFill="1" applyBorder="1" applyAlignment="1">
      <alignment horizontal="left" vertical="center" indent="1"/>
    </xf>
    <xf numFmtId="0" fontId="6" fillId="8" borderId="0" xfId="0" applyFont="1" applyFill="1" applyBorder="1" applyAlignment="1">
      <alignment horizontal="left" indent="1"/>
    </xf>
    <xf numFmtId="0" fontId="6" fillId="8" borderId="0" xfId="0" applyFont="1" applyFill="1" applyBorder="1" applyAlignment="1">
      <alignment horizontal="left" vertical="top" indent="1"/>
    </xf>
    <xf numFmtId="0" fontId="29" fillId="8" borderId="0" xfId="0" applyFont="1" applyFill="1" applyBorder="1" applyAlignment="1">
      <alignment vertical="center"/>
    </xf>
    <xf numFmtId="0" fontId="27" fillId="3" borderId="32" xfId="0" applyFont="1" applyFill="1" applyBorder="1" applyAlignment="1" applyProtection="1">
      <alignment horizontal="center" wrapText="1"/>
      <protection/>
    </xf>
    <xf numFmtId="0" fontId="27" fillId="3" borderId="33" xfId="0" applyFont="1" applyFill="1" applyBorder="1" applyAlignment="1" applyProtection="1">
      <alignment horizontal="center" wrapText="1"/>
      <protection/>
    </xf>
    <xf numFmtId="0" fontId="27" fillId="3" borderId="34" xfId="0" applyFont="1" applyFill="1" applyBorder="1" applyAlignment="1" applyProtection="1">
      <alignment horizontal="center" wrapText="1"/>
      <protection/>
    </xf>
    <xf numFmtId="0" fontId="27" fillId="3" borderId="35" xfId="0" applyFont="1" applyFill="1" applyBorder="1" applyAlignment="1" applyProtection="1">
      <alignment horizontal="center" wrapText="1"/>
      <protection/>
    </xf>
    <xf numFmtId="0" fontId="27" fillId="3" borderId="0" xfId="0" applyFont="1" applyFill="1" applyBorder="1" applyAlignment="1" applyProtection="1">
      <alignment horizontal="center" wrapText="1"/>
      <protection/>
    </xf>
    <xf numFmtId="0" fontId="27" fillId="3" borderId="36" xfId="0" applyFont="1" applyFill="1" applyBorder="1" applyAlignment="1" applyProtection="1">
      <alignment horizontal="center" wrapText="1"/>
      <protection/>
    </xf>
    <xf numFmtId="0" fontId="27" fillId="3" borderId="37" xfId="0" applyFont="1" applyFill="1" applyBorder="1" applyAlignment="1" applyProtection="1">
      <alignment horizontal="center" vertical="top" wrapText="1"/>
      <protection/>
    </xf>
    <xf numFmtId="0" fontId="27" fillId="3" borderId="38" xfId="0" applyFont="1" applyFill="1" applyBorder="1" applyAlignment="1" applyProtection="1">
      <alignment horizontal="center" vertical="top" wrapText="1"/>
      <protection/>
    </xf>
    <xf numFmtId="0" fontId="27" fillId="3" borderId="39" xfId="0" applyFont="1" applyFill="1" applyBorder="1" applyAlignment="1" applyProtection="1">
      <alignment horizontal="center" vertical="top" wrapText="1"/>
      <protection/>
    </xf>
    <xf numFmtId="1" fontId="7" fillId="7" borderId="0" xfId="0" applyNumberFormat="1" applyFont="1" applyFill="1" applyBorder="1" applyAlignment="1" applyProtection="1">
      <alignment horizontal="center" vertical="center"/>
      <protection locked="0"/>
    </xf>
    <xf numFmtId="164" fontId="7" fillId="9" borderId="0" xfId="0" applyNumberFormat="1" applyFont="1" applyFill="1" applyBorder="1" applyAlignment="1" applyProtection="1">
      <alignment horizontal="center" vertical="center"/>
      <protection/>
    </xf>
    <xf numFmtId="164" fontId="7" fillId="9" borderId="20" xfId="0" applyNumberFormat="1" applyFont="1" applyFill="1" applyBorder="1" applyAlignment="1" applyProtection="1">
      <alignment horizontal="center" vertical="center"/>
      <protection/>
    </xf>
    <xf numFmtId="1" fontId="7" fillId="9" borderId="0" xfId="0" applyNumberFormat="1" applyFont="1" applyFill="1" applyBorder="1" applyAlignment="1" applyProtection="1">
      <alignment horizontal="center" vertical="center"/>
      <protection/>
    </xf>
    <xf numFmtId="1" fontId="7" fillId="9" borderId="20" xfId="0" applyNumberFormat="1" applyFont="1" applyFill="1" applyBorder="1" applyAlignment="1" applyProtection="1">
      <alignment horizontal="center" vertical="center"/>
      <protection/>
    </xf>
    <xf numFmtId="2" fontId="24" fillId="9" borderId="18" xfId="0" applyNumberFormat="1" applyFont="1" applyFill="1" applyBorder="1" applyAlignment="1" applyProtection="1">
      <alignment horizontal="center" vertical="center"/>
      <protection/>
    </xf>
    <xf numFmtId="2" fontId="24" fillId="9" borderId="9" xfId="0" applyNumberFormat="1" applyFont="1" applyFill="1" applyBorder="1" applyAlignment="1" applyProtection="1">
      <alignment horizontal="center" vertical="center"/>
      <protection/>
    </xf>
    <xf numFmtId="170" fontId="7" fillId="7" borderId="16" xfId="0" applyNumberFormat="1" applyFont="1" applyFill="1" applyBorder="1" applyAlignment="1" applyProtection="1">
      <alignment horizontal="center" vertical="center"/>
      <protection locked="0"/>
    </xf>
    <xf numFmtId="164" fontId="7" fillId="7" borderId="40" xfId="0" applyNumberFormat="1" applyFont="1" applyFill="1" applyBorder="1" applyAlignment="1" applyProtection="1">
      <alignment horizontal="center" vertical="center"/>
      <protection locked="0"/>
    </xf>
    <xf numFmtId="164" fontId="7" fillId="7" borderId="41" xfId="0" applyNumberFormat="1" applyFont="1" applyFill="1" applyBorder="1" applyAlignment="1" applyProtection="1">
      <alignment horizontal="center" vertical="center"/>
      <protection locked="0"/>
    </xf>
    <xf numFmtId="2" fontId="7" fillId="9" borderId="1" xfId="0" applyNumberFormat="1" applyFont="1" applyFill="1" applyBorder="1" applyAlignment="1" applyProtection="1">
      <alignment horizontal="center" vertical="center"/>
      <protection/>
    </xf>
    <xf numFmtId="2" fontId="7" fillId="9" borderId="42" xfId="0" applyNumberFormat="1" applyFont="1" applyFill="1" applyBorder="1" applyAlignment="1" applyProtection="1">
      <alignment horizontal="center" vertical="center"/>
      <protection/>
    </xf>
    <xf numFmtId="164" fontId="7" fillId="7" borderId="0" xfId="0" applyNumberFormat="1" applyFont="1" applyFill="1" applyBorder="1" applyAlignment="1" applyProtection="1">
      <alignment horizontal="center" vertical="center"/>
      <protection locked="0"/>
    </xf>
    <xf numFmtId="0" fontId="29" fillId="3" borderId="43" xfId="0" applyFont="1" applyFill="1" applyBorder="1" applyAlignment="1">
      <alignment horizontal="left" vertical="top" wrapText="1"/>
    </xf>
    <xf numFmtId="0" fontId="29" fillId="3" borderId="24" xfId="0" applyFont="1" applyFill="1" applyBorder="1" applyAlignment="1">
      <alignment horizontal="left" vertical="top" wrapText="1"/>
    </xf>
    <xf numFmtId="0" fontId="29" fillId="3" borderId="0" xfId="0" applyFont="1" applyFill="1" applyBorder="1" applyAlignment="1">
      <alignment horizontal="left" vertical="top" wrapText="1"/>
    </xf>
    <xf numFmtId="0" fontId="29" fillId="3" borderId="23" xfId="0" applyFont="1" applyFill="1" applyBorder="1" applyAlignment="1">
      <alignment horizontal="left" vertical="top" wrapText="1"/>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solidFill>
                  <a:srgbClr val="808080"/>
                </a:solidFill>
                <a:latin typeface="Arial"/>
                <a:ea typeface="Arial"/>
                <a:cs typeface="Arial"/>
              </a:rPr>
              <a:t>CONFRONTO TRA TRAIETTORIE                               </a:t>
            </a:r>
            <a:r>
              <a:rPr lang="en-US" cap="none" sz="1100" b="1" i="1" u="none" baseline="0">
                <a:solidFill>
                  <a:srgbClr val="808080"/>
                </a:solidFill>
                <a:latin typeface="Arial"/>
                <a:ea typeface="Arial"/>
                <a:cs typeface="Arial"/>
              </a:rPr>
              <a:t>www.outlab.it</a:t>
            </a:r>
          </a:p>
        </c:rich>
      </c:tx>
      <c:layout>
        <c:manualLayout>
          <c:xMode val="factor"/>
          <c:yMode val="factor"/>
          <c:x val="0.16025"/>
          <c:y val="-0.01875"/>
        </c:manualLayout>
      </c:layout>
      <c:spPr>
        <a:noFill/>
        <a:ln>
          <a:noFill/>
        </a:ln>
      </c:spPr>
    </c:title>
    <c:plotArea>
      <c:layout>
        <c:manualLayout>
          <c:xMode val="edge"/>
          <c:yMode val="edge"/>
          <c:x val="0.01025"/>
          <c:y val="0.0495"/>
          <c:w val="0.9765"/>
          <c:h val="0.9225"/>
        </c:manualLayout>
      </c:layout>
      <c:scatterChart>
        <c:scatterStyle val="lineMarker"/>
        <c:varyColors val="0"/>
        <c:ser>
          <c:idx val="0"/>
          <c:order val="0"/>
          <c:tx>
            <c:v>Traiettoria 1</c:v>
          </c:tx>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FF"/>
              </a:solidFill>
              <a:ln>
                <a:solidFill>
                  <a:srgbClr val="0000FF"/>
                </a:solidFill>
              </a:ln>
            </c:spPr>
          </c:marker>
          <c:xVal>
            <c:numRef>
              <c:f>calcoli!$C$14:$C$114</c:f>
              <c:numCache>
                <c:ptCount val="101"/>
                <c:pt idx="0">
                  <c:v>0.7695459248861661</c:v>
                </c:pt>
                <c:pt idx="1">
                  <c:v>1.4025726914184422</c:v>
                </c:pt>
                <c:pt idx="2">
                  <c:v>2.034642681523172</c:v>
                </c:pt>
                <c:pt idx="3">
                  <c:v>2.6657590258207065</c:v>
                </c:pt>
                <c:pt idx="4">
                  <c:v>3.2959248354264834</c:v>
                </c:pt>
                <c:pt idx="5">
                  <c:v>3.925143202076799</c:v>
                </c:pt>
                <c:pt idx="6">
                  <c:v>4.553417198253544</c:v>
                </c:pt>
                <c:pt idx="7">
                  <c:v>5.180749877307918</c:v>
                </c:pt>
                <c:pt idx="8">
                  <c:v>5.807144273583136</c:v>
                </c:pt>
                <c:pt idx="9">
                  <c:v>6.43260340253613</c:v>
                </c:pt>
                <c:pt idx="10">
                  <c:v>7.057130260858273</c:v>
                </c:pt>
                <c:pt idx="11">
                  <c:v>7.680727826595114</c:v>
                </c:pt>
                <c:pt idx="12">
                  <c:v>8.30339905926516</c:v>
                </c:pt>
                <c:pt idx="13">
                  <c:v>8.925146899977696</c:v>
                </c:pt>
                <c:pt idx="14">
                  <c:v>9.54597427154966</c:v>
                </c:pt>
                <c:pt idx="15">
                  <c:v>10.165884078621591</c:v>
                </c:pt>
                <c:pt idx="16">
                  <c:v>10.784879207772654</c:v>
                </c:pt>
                <c:pt idx="17">
                  <c:v>11.402962527634747</c:v>
                </c:pt>
                <c:pt idx="18">
                  <c:v>12.020136889005709</c:v>
                </c:pt>
                <c:pt idx="19">
                  <c:v>12.636405124961643</c:v>
                </c:pt>
                <c:pt idx="20">
                  <c:v>13.251770050968346</c:v>
                </c:pt>
                <c:pt idx="21">
                  <c:v>13.86623446499188</c:v>
                </c:pt>
                <c:pt idx="22">
                  <c:v>14.479801147608264</c:v>
                </c:pt>
                <c:pt idx="23">
                  <c:v>15.092472862112333</c:v>
                </c:pt>
                <c:pt idx="24">
                  <c:v>15.704252354625746</c:v>
                </c:pt>
                <c:pt idx="25">
                  <c:v>16.315142354204156</c:v>
                </c:pt>
                <c:pt idx="26">
                  <c:v>16.925145572943567</c:v>
                </c:pt>
                <c:pt idx="27">
                  <c:v>17.534264706085864</c:v>
                </c:pt>
                <c:pt idx="28">
                  <c:v>18.14250243212355</c:v>
                </c:pt>
                <c:pt idx="29">
                  <c:v>18.74986141290368</c:v>
                </c:pt>
                <c:pt idx="30">
                  <c:v>19.356344293731013</c:v>
                </c:pt>
                <c:pt idx="31">
                  <c:v>19.961953703470375</c:v>
                </c:pt>
                <c:pt idx="32">
                  <c:v>20.566692254648263</c:v>
                </c:pt>
                <c:pt idx="33">
                  <c:v>21.170562543553682</c:v>
                </c:pt>
                <c:pt idx="34">
                  <c:v>21.77356715033824</c:v>
                </c:pt>
                <c:pt idx="35">
                  <c:v>22.375708639115484</c:v>
                </c:pt>
                <c:pt idx="36">
                  <c:v>22.976989558059497</c:v>
                </c:pt>
                <c:pt idx="37">
                  <c:v>23.577412439502798</c:v>
                </c:pt>
                <c:pt idx="38">
                  <c:v>24.17697980003349</c:v>
                </c:pt>
                <c:pt idx="39">
                  <c:v>24.775694140591707</c:v>
                </c:pt>
                <c:pt idx="40">
                  <c:v>25.373557946565366</c:v>
                </c:pt>
                <c:pt idx="41">
                  <c:v>25.970573687885214</c:v>
                </c:pt>
                <c:pt idx="42">
                  <c:v>26.566743819119182</c:v>
                </c:pt>
                <c:pt idx="43">
                  <c:v>27.162070779566086</c:v>
                </c:pt>
                <c:pt idx="44">
                  <c:v>27.756556993348617</c:v>
                </c:pt>
                <c:pt idx="45">
                  <c:v>28.350204869505692</c:v>
                </c:pt>
                <c:pt idx="46">
                  <c:v>28.94301680208415</c:v>
                </c:pt>
                <c:pt idx="47">
                  <c:v>29.534995170229767</c:v>
                </c:pt>
                <c:pt idx="48">
                  <c:v>30.12614233827768</c:v>
                </c:pt>
                <c:pt idx="49">
                  <c:v>30.716460655842116</c:v>
                </c:pt>
                <c:pt idx="50">
                  <c:v>31.305952457905537</c:v>
                </c:pt>
                <c:pt idx="51">
                  <c:v>31.894620064907137</c:v>
                </c:pt>
                <c:pt idx="52">
                  <c:v>32.48246578283075</c:v>
                </c:pt>
                <c:pt idx="53">
                  <c:v>33.06949190329211</c:v>
                </c:pt>
                <c:pt idx="54">
                  <c:v>33.655700703625556</c:v>
                </c:pt>
                <c:pt idx="55">
                  <c:v>34.24109444697011</c:v>
                </c:pt>
                <c:pt idx="56">
                  <c:v>34.82567538235497</c:v>
                </c:pt>
                <c:pt idx="57">
                  <c:v>35.40944574478445</c:v>
                </c:pt>
                <c:pt idx="58">
                  <c:v>35.99240775532228</c:v>
                </c:pt>
                <c:pt idx="59">
                  <c:v>36.57456362117544</c:v>
                </c:pt>
                <c:pt idx="60">
                  <c:v>37.15591553577733</c:v>
                </c:pt>
                <c:pt idx="61">
                  <c:v>37.73646567887042</c:v>
                </c:pt>
                <c:pt idx="62">
                  <c:v>38.31621621658837</c:v>
                </c:pt>
                <c:pt idx="63">
                  <c:v>38.895169301537614</c:v>
                </c:pt>
                <c:pt idx="64">
                  <c:v>39.47332707287833</c:v>
                </c:pt>
                <c:pt idx="65">
                  <c:v>40.050691656404965</c:v>
                </c:pt>
                <c:pt idx="66">
                  <c:v>40.6272651646262</c:v>
                </c:pt>
                <c:pt idx="67">
                  <c:v>41.20304969684438</c:v>
                </c:pt>
                <c:pt idx="68">
                  <c:v>41.77804733923443</c:v>
                </c:pt>
                <c:pt idx="69">
                  <c:v>42.35226016492231</c:v>
                </c:pt>
                <c:pt idx="70">
                  <c:v>42.9256902340629</c:v>
                </c:pt>
                <c:pt idx="71">
                  <c:v>43.49833959391741</c:v>
                </c:pt>
                <c:pt idx="72">
                  <c:v>44.070210278930325</c:v>
                </c:pt>
                <c:pt idx="73">
                  <c:v>44.64130431080585</c:v>
                </c:pt>
                <c:pt idx="74">
                  <c:v>45.21162369858382</c:v>
                </c:pt>
                <c:pt idx="75">
                  <c:v>45.781170438715215</c:v>
                </c:pt>
                <c:pt idx="76">
                  <c:v>46.34994651513715</c:v>
                </c:pt>
                <c:pt idx="77">
                  <c:v>46.9179538993474</c:v>
                </c:pt>
                <c:pt idx="78">
                  <c:v>47.48519455047852</c:v>
                </c:pt>
                <c:pt idx="79">
                  <c:v>48.0516704153714</c:v>
                </c:pt>
                <c:pt idx="80">
                  <c:v>48.61738342864849</c:v>
                </c:pt>
                <c:pt idx="81">
                  <c:v>49.18233551278647</c:v>
                </c:pt>
                <c:pt idx="82">
                  <c:v>49.74652857818859</c:v>
                </c:pt>
                <c:pt idx="83">
                  <c:v>50.30996452325644</c:v>
                </c:pt>
                <c:pt idx="84">
                  <c:v>50.87264523446141</c:v>
                </c:pt>
                <c:pt idx="85">
                  <c:v>51.43457258641564</c:v>
                </c:pt>
                <c:pt idx="86">
                  <c:v>51.995748441942595</c:v>
                </c:pt>
                <c:pt idx="87">
                  <c:v>52.55617465214719</c:v>
                </c:pt>
                <c:pt idx="88">
                  <c:v>53.11585305648552</c:v>
                </c:pt>
                <c:pt idx="89">
                  <c:v>53.67478548283415</c:v>
                </c:pt>
                <c:pt idx="90">
                  <c:v>54.232973747559065</c:v>
                </c:pt>
                <c:pt idx="91">
                  <c:v>54.790419655584124</c:v>
                </c:pt>
                <c:pt idx="92">
                  <c:v>55.347125000459194</c:v>
                </c:pt>
                <c:pt idx="93">
                  <c:v>55.90309156442786</c:v>
                </c:pt>
                <c:pt idx="94">
                  <c:v>56.458321118494744</c:v>
                </c:pt>
                <c:pt idx="95">
                  <c:v>57.012815422492444</c:v>
                </c:pt>
                <c:pt idx="96">
                  <c:v>57.5665762251481</c:v>
                </c:pt>
                <c:pt idx="97">
                  <c:v>58.11960526414955</c:v>
                </c:pt>
                <c:pt idx="98">
                  <c:v>58.671904266211165</c:v>
                </c:pt>
                <c:pt idx="99">
                  <c:v>59.22347494713927</c:v>
                </c:pt>
                <c:pt idx="100">
                  <c:v>59.77431901189723</c:v>
                </c:pt>
              </c:numCache>
            </c:numRef>
          </c:xVal>
          <c:yVal>
            <c:numRef>
              <c:f>calcoli!$D$14:$D$114</c:f>
              <c:numCache>
                <c:ptCount val="101"/>
                <c:pt idx="0">
                  <c:v>-0.023303851421925148</c:v>
                </c:pt>
                <c:pt idx="1">
                  <c:v>0.04788764731376572</c:v>
                </c:pt>
                <c:pt idx="2">
                  <c:v>0.11755997254870888</c:v>
                </c:pt>
                <c:pt idx="3">
                  <c:v>0.18571560420926794</c:v>
                </c:pt>
                <c:pt idx="4">
                  <c:v>0.2523570093537309</c:v>
                </c:pt>
                <c:pt idx="5">
                  <c:v>0.3174866422841232</c:v>
                </c:pt>
                <c:pt idx="6">
                  <c:v>0.38110694465720557</c:v>
                </c:pt>
                <c:pt idx="7">
                  <c:v>0.4432203455946648</c:v>
                </c:pt>
                <c:pt idx="8">
                  <c:v>0.5038292617925054</c:v>
                </c:pt>
                <c:pt idx="9">
                  <c:v>0.5629360976296511</c:v>
                </c:pt>
                <c:pt idx="10">
                  <c:v>0.6205432452757621</c:v>
                </c:pt>
                <c:pt idx="11">
                  <c:v>0.6766530847982777</c:v>
                </c:pt>
                <c:pt idx="12">
                  <c:v>0.7312679842686918</c:v>
                </c:pt>
                <c:pt idx="13">
                  <c:v>0.7843902998680675</c:v>
                </c:pt>
                <c:pt idx="14">
                  <c:v>0.8360223759918001</c:v>
                </c:pt>
                <c:pt idx="15">
                  <c:v>0.8861665453536337</c:v>
                </c:pt>
                <c:pt idx="16">
                  <c:v>0.9348251290889413</c:v>
                </c:pt>
                <c:pt idx="17">
                  <c:v>0.9820004368572729</c:v>
                </c:pt>
                <c:pt idx="18">
                  <c:v>1.0276947669441805</c:v>
                </c:pt>
                <c:pt idx="19">
                  <c:v>1.0719104063623262</c:v>
                </c:pt>
                <c:pt idx="20">
                  <c:v>1.11464963095188</c:v>
                </c:pt>
                <c:pt idx="21">
                  <c:v>1.1559147054802155</c:v>
                </c:pt>
                <c:pt idx="22">
                  <c:v>1.1957078837409072</c:v>
                </c:pt>
                <c:pt idx="23">
                  <c:v>1.2340314086520396</c:v>
                </c:pt>
                <c:pt idx="24">
                  <c:v>1.2708875123538326</c:v>
                </c:pt>
                <c:pt idx="25">
                  <c:v>1.3062784163055878</c:v>
                </c:pt>
                <c:pt idx="26">
                  <c:v>1.3402063313819672</c:v>
                </c:pt>
                <c:pt idx="27">
                  <c:v>1.3726734579686044</c:v>
                </c:pt>
                <c:pt idx="28">
                  <c:v>1.4036819860570589</c:v>
                </c:pt>
                <c:pt idx="29">
                  <c:v>1.433234095339117</c:v>
                </c:pt>
                <c:pt idx="30">
                  <c:v>1.461331955300447</c:v>
                </c:pt>
                <c:pt idx="31">
                  <c:v>1.4879777253136124</c:v>
                </c:pt>
                <c:pt idx="32">
                  <c:v>1.513173554730452</c:v>
                </c:pt>
                <c:pt idx="33">
                  <c:v>1.5369215829738283</c:v>
                </c:pt>
                <c:pt idx="34">
                  <c:v>1.5592239396287544</c:v>
                </c:pt>
                <c:pt idx="35">
                  <c:v>1.5800827445329015</c:v>
                </c:pt>
                <c:pt idx="36">
                  <c:v>1.5995001078664937</c:v>
                </c:pt>
                <c:pt idx="37">
                  <c:v>1.6174781302415957</c:v>
                </c:pt>
                <c:pt idx="38">
                  <c:v>1.6340189027907983</c:v>
                </c:pt>
                <c:pt idx="39">
                  <c:v>1.6491245072553071</c:v>
                </c:pt>
                <c:pt idx="40">
                  <c:v>1.662797016072439</c:v>
                </c:pt>
                <c:pt idx="41">
                  <c:v>1.6750384924625323</c:v>
                </c:pt>
                <c:pt idx="42">
                  <c:v>1.6858509905152743</c:v>
                </c:pt>
                <c:pt idx="43">
                  <c:v>1.6952365552754536</c:v>
                </c:pt>
                <c:pt idx="44">
                  <c:v>1.703197222828138</c:v>
                </c:pt>
                <c:pt idx="45">
                  <c:v>1.7097350203832875</c:v>
                </c:pt>
                <c:pt idx="46">
                  <c:v>1.714851966359803</c:v>
                </c:pt>
                <c:pt idx="47">
                  <c:v>1.7185500704690169</c:v>
                </c:pt>
                <c:pt idx="48">
                  <c:v>1.7208313337976318</c:v>
                </c:pt>
                <c:pt idx="49">
                  <c:v>1.7216977488901086</c:v>
                </c:pt>
                <c:pt idx="50">
                  <c:v>1.721151299830511</c:v>
                </c:pt>
                <c:pt idx="51">
                  <c:v>1.7191939623238084</c:v>
                </c:pt>
                <c:pt idx="52">
                  <c:v>1.7158277037766447</c:v>
                </c:pt>
                <c:pt idx="53">
                  <c:v>1.7110544833775738</c:v>
                </c:pt>
                <c:pt idx="54">
                  <c:v>1.704876252176768</c:v>
                </c:pt>
                <c:pt idx="55">
                  <c:v>1.6972949531652033</c:v>
                </c:pt>
                <c:pt idx="56">
                  <c:v>1.6883125213533245</c:v>
                </c:pt>
                <c:pt idx="57">
                  <c:v>1.6779308838491946</c:v>
                </c:pt>
                <c:pt idx="58">
                  <c:v>1.6661519599361336</c:v>
                </c:pt>
                <c:pt idx="59">
                  <c:v>1.6529776611498483</c:v>
                </c:pt>
                <c:pt idx="60">
                  <c:v>1.6384098913550589</c:v>
                </c:pt>
                <c:pt idx="61">
                  <c:v>1.6224505468216244</c:v>
                </c:pt>
                <c:pt idx="62">
                  <c:v>1.6051015163001725</c:v>
                </c:pt>
                <c:pt idx="63">
                  <c:v>1.5863646810972356</c:v>
                </c:pt>
                <c:pt idx="64">
                  <c:v>1.5662419151498974</c:v>
                </c:pt>
                <c:pt idx="65">
                  <c:v>1.544735085099954</c:v>
                </c:pt>
                <c:pt idx="66">
                  <c:v>1.5218460503675915</c:v>
                </c:pt>
                <c:pt idx="67">
                  <c:v>1.497576663224586</c:v>
                </c:pt>
                <c:pt idx="68">
                  <c:v>1.471928768867026</c:v>
                </c:pt>
                <c:pt idx="69">
                  <c:v>1.4449042054875634</c:v>
                </c:pt>
                <c:pt idx="70">
                  <c:v>1.4165048043471948</c:v>
                </c:pt>
                <c:pt idx="71">
                  <c:v>1.3867323898465773</c:v>
                </c:pt>
                <c:pt idx="72">
                  <c:v>1.35558877959688</c:v>
                </c:pt>
                <c:pt idx="73">
                  <c:v>1.3230757844901766</c:v>
                </c:pt>
                <c:pt idx="74">
                  <c:v>1.2891952087693814</c:v>
                </c:pt>
                <c:pt idx="75">
                  <c:v>1.2539488500977305</c:v>
                </c:pt>
                <c:pt idx="76">
                  <c:v>1.2173384996278125</c:v>
                </c:pt>
                <c:pt idx="77">
                  <c:v>1.1793659420701512</c:v>
                </c:pt>
                <c:pt idx="78">
                  <c:v>1.1400329557613431</c:v>
                </c:pt>
                <c:pt idx="79">
                  <c:v>1.0993413127317524</c:v>
                </c:pt>
                <c:pt idx="80">
                  <c:v>1.0572927787727664</c:v>
                </c:pt>
                <c:pt idx="81">
                  <c:v>1.0138891135036139</c:v>
                </c:pt>
                <c:pt idx="82">
                  <c:v>0.9691320704377494</c:v>
                </c:pt>
                <c:pt idx="83">
                  <c:v>0.9230233970488061</c:v>
                </c:pt>
                <c:pt idx="84">
                  <c:v>0.8755648348361189</c:v>
                </c:pt>
                <c:pt idx="85">
                  <c:v>0.8267581193898217</c:v>
                </c:pt>
                <c:pt idx="86">
                  <c:v>0.7766049804555202</c:v>
                </c:pt>
                <c:pt idx="87">
                  <c:v>0.7251071419985438</c:v>
                </c:pt>
                <c:pt idx="88">
                  <c:v>0.6722663222677777</c:v>
                </c:pt>
                <c:pt idx="89">
                  <c:v>0.6180842338590787</c:v>
                </c:pt>
                <c:pt idx="90">
                  <c:v>0.5625625837782766</c:v>
                </c:pt>
                <c:pt idx="91">
                  <c:v>0.5057030735037632</c:v>
                </c:pt>
                <c:pt idx="92">
                  <c:v>0.447507399048672</c:v>
                </c:pt>
                <c:pt idx="93">
                  <c:v>0.38797725102264985</c:v>
                </c:pt>
                <c:pt idx="94">
                  <c:v>0.3271143146932237</c:v>
                </c:pt>
                <c:pt idx="95">
                  <c:v>0.264920270046764</c:v>
                </c:pt>
                <c:pt idx="96">
                  <c:v>0.20139679184904682</c:v>
                </c:pt>
                <c:pt idx="97">
                  <c:v>0.13654554970541732</c:v>
                </c:pt>
                <c:pt idx="98">
                  <c:v>0.07036820812055622</c:v>
                </c:pt>
                <c:pt idx="99">
                  <c:v>0.002866426557851253</c:v>
                </c:pt>
                <c:pt idx="100">
                  <c:v>-0.06595814050162395</c:v>
                </c:pt>
              </c:numCache>
            </c:numRef>
          </c:yVal>
          <c:smooth val="0"/>
        </c:ser>
        <c:ser>
          <c:idx val="1"/>
          <c:order val="1"/>
          <c:tx>
            <c:v>Traiettoria 2</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6600"/>
              </a:solidFill>
              <a:ln>
                <a:solidFill>
                  <a:srgbClr val="FF6600"/>
                </a:solidFill>
              </a:ln>
            </c:spPr>
          </c:marker>
          <c:xVal>
            <c:numRef>
              <c:f>calcoli!$M$14:$M$114</c:f>
              <c:numCache>
                <c:ptCount val="101"/>
                <c:pt idx="0">
                  <c:v>0.7695459248861661</c:v>
                </c:pt>
                <c:pt idx="1">
                  <c:v>1.9233538950679878</c:v>
                </c:pt>
                <c:pt idx="2">
                  <c:v>3.074645020847736</c:v>
                </c:pt>
                <c:pt idx="3">
                  <c:v>4.223430886377669</c:v>
                </c:pt>
                <c:pt idx="4">
                  <c:v>5.369722986023715</c:v>
                </c:pt>
                <c:pt idx="5">
                  <c:v>6.513532725186364</c:v>
                </c:pt>
                <c:pt idx="6">
                  <c:v>7.654871421112</c:v>
                </c:pt>
                <c:pt idx="7">
                  <c:v>8.793750303694814</c:v>
                </c:pt>
                <c:pt idx="8">
                  <c:v>9.930180516269429</c:v>
                </c:pt>
                <c:pt idx="9">
                  <c:v>11.064173116394372</c:v>
                </c:pt>
                <c:pt idx="10">
                  <c:v>12.195739076626525</c:v>
                </c:pt>
                <c:pt idx="11">
                  <c:v>13.324889285286694</c:v>
                </c:pt>
                <c:pt idx="12">
                  <c:v>14.451634547216399</c:v>
                </c:pt>
                <c:pt idx="13">
                  <c:v>15.575985584526025</c:v>
                </c:pt>
                <c:pt idx="14">
                  <c:v>16.69795303733447</c:v>
                </c:pt>
                <c:pt idx="15">
                  <c:v>17.817547464500386</c:v>
                </c:pt>
                <c:pt idx="16">
                  <c:v>18.934779344345138</c:v>
                </c:pt>
                <c:pt idx="17">
                  <c:v>20.049659075367618</c:v>
                </c:pt>
                <c:pt idx="18">
                  <c:v>21.16219697695101</c:v>
                </c:pt>
                <c:pt idx="19">
                  <c:v>22.272403290061604</c:v>
                </c:pt>
                <c:pt idx="20">
                  <c:v>23.380288177939835</c:v>
                </c:pt>
                <c:pt idx="21">
                  <c:v>24.48586172678356</c:v>
                </c:pt>
                <c:pt idx="22">
                  <c:v>25.589133946423775</c:v>
                </c:pt>
                <c:pt idx="23">
                  <c:v>26.69011477099281</c:v>
                </c:pt>
                <c:pt idx="24">
                  <c:v>27.788814059585157</c:v>
                </c:pt>
                <c:pt idx="25">
                  <c:v>28.885241596910987</c:v>
                </c:pt>
                <c:pt idx="26">
                  <c:v>29.97940709394251</c:v>
                </c:pt>
                <c:pt idx="27">
                  <c:v>31.07132018855322</c:v>
                </c:pt>
                <c:pt idx="28">
                  <c:v>32.16099044615017</c:v>
                </c:pt>
                <c:pt idx="29">
                  <c:v>33.24842736029937</c:v>
                </c:pt>
                <c:pt idx="30">
                  <c:v>34.33364035334433</c:v>
                </c:pt>
                <c:pt idx="31">
                  <c:v>35.416638777018</c:v>
                </c:pt>
                <c:pt idx="32">
                  <c:v>36.497431913048025</c:v>
                </c:pt>
                <c:pt idx="33">
                  <c:v>37.576028973755484</c:v>
                </c:pt>
                <c:pt idx="34">
                  <c:v>38.65243910264725</c:v>
                </c:pt>
                <c:pt idx="35">
                  <c:v>39.72667137500197</c:v>
                </c:pt>
                <c:pt idx="36">
                  <c:v>40.798734798449814</c:v>
                </c:pt>
                <c:pt idx="37">
                  <c:v>41.86863831354603</c:v>
                </c:pt>
                <c:pt idx="38">
                  <c:v>42.93639079433844</c:v>
                </c:pt>
                <c:pt idx="39">
                  <c:v>44.002001048928946</c:v>
                </c:pt>
                <c:pt idx="40">
                  <c:v>45.06547782002907</c:v>
                </c:pt>
                <c:pt idx="41">
                  <c:v>46.12682978550971</c:v>
                </c:pt>
                <c:pt idx="42">
                  <c:v>47.1860655589451</c:v>
                </c:pt>
                <c:pt idx="43">
                  <c:v>48.2431936901511</c:v>
                </c:pt>
                <c:pt idx="44">
                  <c:v>49.2982226657179</c:v>
                </c:pt>
                <c:pt idx="45">
                  <c:v>50.351160909537164</c:v>
                </c:pt>
                <c:pt idx="46">
                  <c:v>51.40201678332374</c:v>
                </c:pt>
                <c:pt idx="47">
                  <c:v>52.45079858713198</c:v>
                </c:pt>
                <c:pt idx="48">
                  <c:v>53.49751455986678</c:v>
                </c:pt>
                <c:pt idx="49">
                  <c:v>54.542172879789334</c:v>
                </c:pt>
                <c:pt idx="50">
                  <c:v>55.58478166501775</c:v>
                </c:pt>
                <c:pt idx="51">
                  <c:v>56.62534897402259</c:v>
                </c:pt>
                <c:pt idx="52">
                  <c:v>57.66388280611733</c:v>
                </c:pt>
                <c:pt idx="53">
                  <c:v>58.70039110194388</c:v>
                </c:pt>
                <c:pt idx="54">
                  <c:v>59.734881743953245</c:v>
                </c:pt>
                <c:pt idx="55">
                  <c:v>60.767362556881295</c:v>
                </c:pt>
                <c:pt idx="56">
                  <c:v>61.79784130821979</c:v>
                </c:pt>
                <c:pt idx="57">
                  <c:v>62.82632570868271</c:v>
                </c:pt>
                <c:pt idx="58">
                  <c:v>63.85282341266795</c:v>
                </c:pt>
                <c:pt idx="59">
                  <c:v>64.87734201871442</c:v>
                </c:pt>
                <c:pt idx="60">
                  <c:v>65.89988906995458</c:v>
                </c:pt>
                <c:pt idx="61">
                  <c:v>66.92047205456265</c:v>
                </c:pt>
                <c:pt idx="62">
                  <c:v>67.93909840619826</c:v>
                </c:pt>
                <c:pt idx="63">
                  <c:v>68.95577550444581</c:v>
                </c:pt>
                <c:pt idx="64">
                  <c:v>69.97051067524964</c:v>
                </c:pt>
                <c:pt idx="65">
                  <c:v>70.98331119134482</c:v>
                </c:pt>
                <c:pt idx="66">
                  <c:v>71.99418427268384</c:v>
                </c:pt>
                <c:pt idx="67">
                  <c:v>73.00313708685917</c:v>
                </c:pt>
                <c:pt idx="68">
                  <c:v>74.01017674952178</c:v>
                </c:pt>
                <c:pt idx="69">
                  <c:v>75.01531032479556</c:v>
                </c:pt>
                <c:pt idx="70">
                  <c:v>76.01854482568791</c:v>
                </c:pt>
                <c:pt idx="71">
                  <c:v>77.01988721449625</c:v>
                </c:pt>
                <c:pt idx="72">
                  <c:v>78.01934440321084</c:v>
                </c:pt>
                <c:pt idx="73">
                  <c:v>79.01692325391366</c:v>
                </c:pt>
                <c:pt idx="74">
                  <c:v>80.01263057917362</c:v>
                </c:pt>
                <c:pt idx="75">
                  <c:v>81.00647314243795</c:v>
                </c:pt>
                <c:pt idx="76">
                  <c:v>81.99845765842008</c:v>
                </c:pt>
                <c:pt idx="77">
                  <c:v>82.98859079348371</c:v>
                </c:pt>
                <c:pt idx="78">
                  <c:v>83.97687916602347</c:v>
                </c:pt>
                <c:pt idx="79">
                  <c:v>84.96332934684199</c:v>
                </c:pt>
                <c:pt idx="80">
                  <c:v>85.94794785952345</c:v>
                </c:pt>
                <c:pt idx="81">
                  <c:v>86.93074118080379</c:v>
                </c:pt>
                <c:pt idx="82">
                  <c:v>87.91171574093741</c:v>
                </c:pt>
                <c:pt idx="83">
                  <c:v>88.89087792406062</c:v>
                </c:pt>
                <c:pt idx="84">
                  <c:v>89.86823406855169</c:v>
                </c:pt>
                <c:pt idx="85">
                  <c:v>90.84379046738775</c:v>
                </c:pt>
                <c:pt idx="86">
                  <c:v>91.81755336849834</c:v>
                </c:pt>
                <c:pt idx="87">
                  <c:v>92.78952897511587</c:v>
                </c:pt>
                <c:pt idx="88">
                  <c:v>93.75972344612289</c:v>
                </c:pt>
                <c:pt idx="89">
                  <c:v>94.72814289639626</c:v>
                </c:pt>
                <c:pt idx="90">
                  <c:v>95.69479339714826</c:v>
                </c:pt>
                <c:pt idx="91">
                  <c:v>96.65968097626467</c:v>
                </c:pt>
                <c:pt idx="92">
                  <c:v>97.62281161863989</c:v>
                </c:pt>
                <c:pt idx="93">
                  <c:v>98.58419126650902</c:v>
                </c:pt>
                <c:pt idx="94">
                  <c:v>99.54382581977715</c:v>
                </c:pt>
                <c:pt idx="95">
                  <c:v>100.50172113634568</c:v>
                </c:pt>
                <c:pt idx="96">
                  <c:v>101.45788303243579</c:v>
                </c:pt>
                <c:pt idx="97">
                  <c:v>102.41231728290919</c:v>
                </c:pt>
                <c:pt idx="98">
                  <c:v>103.36502962158598</c:v>
                </c:pt>
                <c:pt idx="99">
                  <c:v>104.31602574155988</c:v>
                </c:pt>
                <c:pt idx="100">
                  <c:v>105.2653112955107</c:v>
                </c:pt>
              </c:numCache>
            </c:numRef>
          </c:xVal>
          <c:yVal>
            <c:numRef>
              <c:f>calcoli!$N$14:$N$114</c:f>
              <c:numCache>
                <c:ptCount val="101"/>
                <c:pt idx="0">
                  <c:v>-0.023303851421925148</c:v>
                </c:pt>
                <c:pt idx="1">
                  <c:v>0.1064874964160334</c:v>
                </c:pt>
                <c:pt idx="2">
                  <c:v>0.23348710460293634</c:v>
                </c:pt>
                <c:pt idx="3">
                  <c:v>0.3577017284580884</c:v>
                </c:pt>
                <c:pt idx="4">
                  <c:v>0.47913807501515604</c:v>
                </c:pt>
                <c:pt idx="5">
                  <c:v>0.5978028035301228</c:v>
                </c:pt>
                <c:pt idx="6">
                  <c:v>0.7137025259837181</c:v>
                </c:pt>
                <c:pt idx="7">
                  <c:v>0.8268438075783983</c:v>
                </c:pt>
                <c:pt idx="8">
                  <c:v>0.9372331672299568</c:v>
                </c:pt>
                <c:pt idx="9">
                  <c:v>1.044877078053839</c:v>
                </c:pt>
                <c:pt idx="10">
                  <c:v>1.1497819678462367</c:v>
                </c:pt>
                <c:pt idx="11">
                  <c:v>1.251954219560033</c:v>
                </c:pt>
                <c:pt idx="12">
                  <c:v>1.3514001717756727</c:v>
                </c:pt>
                <c:pt idx="13">
                  <c:v>1.448126119167026</c:v>
                </c:pt>
                <c:pt idx="14">
                  <c:v>1.542138312962317</c:v>
                </c:pt>
                <c:pt idx="15">
                  <c:v>1.6334429614001833</c:v>
                </c:pt>
                <c:pt idx="16">
                  <c:v>1.7220462301809358</c:v>
                </c:pt>
                <c:pt idx="17">
                  <c:v>1.8079542429130837</c:v>
                </c:pt>
                <c:pt idx="18">
                  <c:v>1.8911730815551877</c:v>
                </c:pt>
                <c:pt idx="19">
                  <c:v>1.9717087868531102</c:v>
                </c:pt>
                <c:pt idx="20">
                  <c:v>2.0495673587727197</c:v>
                </c:pt>
                <c:pt idx="21">
                  <c:v>2.1247547569281133</c:v>
                </c:pt>
                <c:pt idx="22">
                  <c:v>2.1972769010054196</c:v>
                </c:pt>
                <c:pt idx="23">
                  <c:v>2.26713967118224</c:v>
                </c:pt>
                <c:pt idx="24">
                  <c:v>2.3343489085427844</c:v>
                </c:pt>
                <c:pt idx="25">
                  <c:v>2.3989104154887664</c:v>
                </c:pt>
                <c:pt idx="26">
                  <c:v>2.4608299561461053</c:v>
                </c:pt>
                <c:pt idx="27">
                  <c:v>2.5201132567674978</c:v>
                </c:pt>
                <c:pt idx="28">
                  <c:v>2.576766006130912</c:v>
                </c:pt>
                <c:pt idx="29">
                  <c:v>2.630793855934055</c:v>
                </c:pt>
                <c:pt idx="30">
                  <c:v>2.682202421184873</c:v>
                </c:pt>
                <c:pt idx="31">
                  <c:v>2.730997280588129</c:v>
                </c:pt>
                <c:pt idx="32">
                  <c:v>2.777183976928116</c:v>
                </c:pt>
                <c:pt idx="33">
                  <c:v>2.8207680174475502</c:v>
                </c:pt>
                <c:pt idx="34">
                  <c:v>2.861754874222698</c:v>
                </c:pt>
                <c:pt idx="35">
                  <c:v>2.900149984534785</c:v>
                </c:pt>
                <c:pt idx="36">
                  <c:v>2.935958751237733</c:v>
                </c:pt>
                <c:pt idx="37">
                  <c:v>2.9691865431222744</c:v>
                </c:pt>
                <c:pt idx="38">
                  <c:v>2.9998386952764866</c:v>
                </c:pt>
                <c:pt idx="39">
                  <c:v>3.0279205094427986</c:v>
                </c:pt>
                <c:pt idx="40">
                  <c:v>3.053437254371509</c:v>
                </c:pt>
                <c:pt idx="41">
                  <c:v>3.0763941661708607</c:v>
                </c:pt>
                <c:pt idx="42">
                  <c:v>3.0967964486537185</c:v>
                </c:pt>
                <c:pt idx="43">
                  <c:v>3.1146492736808877</c:v>
                </c:pt>
                <c:pt idx="44">
                  <c:v>3.129957781501121</c:v>
                </c:pt>
                <c:pt idx="45">
                  <c:v>3.1427270810878487</c:v>
                </c:pt>
                <c:pt idx="46">
                  <c:v>3.152962250472681</c:v>
                </c:pt>
                <c:pt idx="47">
                  <c:v>3.160668337075714</c:v>
                </c:pt>
                <c:pt idx="48">
                  <c:v>3.1658503580326833</c:v>
                </c:pt>
                <c:pt idx="49">
                  <c:v>3.168513300519005</c:v>
                </c:pt>
                <c:pt idx="50">
                  <c:v>3.168662122070738</c:v>
                </c:pt>
                <c:pt idx="51">
                  <c:v>3.1663017509025058</c:v>
                </c:pt>
                <c:pt idx="52">
                  <c:v>3.161437086222422</c:v>
                </c:pt>
                <c:pt idx="53">
                  <c:v>3.154072998544042</c:v>
                </c:pt>
                <c:pt idx="54">
                  <c:v>3.1442143299953895</c:v>
                </c:pt>
                <c:pt idx="55">
                  <c:v>3.131865894625086</c:v>
                </c:pt>
                <c:pt idx="56">
                  <c:v>3.1170324787056174</c:v>
                </c:pt>
                <c:pt idx="57">
                  <c:v>3.0997188410337766</c:v>
                </c:pt>
                <c:pt idx="58">
                  <c:v>3.0799297132283088</c:v>
                </c:pt>
                <c:pt idx="59">
                  <c:v>3.0576698000247986</c:v>
                </c:pt>
                <c:pt idx="60">
                  <c:v>3.032943779567827</c:v>
                </c:pt>
                <c:pt idx="61">
                  <c:v>3.00575630370043</c:v>
                </c:pt>
                <c:pt idx="62">
                  <c:v>2.9761119982508926</c:v>
                </c:pt>
                <c:pt idx="63">
                  <c:v>2.944015463316908</c:v>
                </c:pt>
                <c:pt idx="64">
                  <c:v>2.9094712735471306</c:v>
                </c:pt>
                <c:pt idx="65">
                  <c:v>2.872483978420153</c:v>
                </c:pt>
                <c:pt idx="66">
                  <c:v>2.8330581025209374</c:v>
                </c:pt>
                <c:pt idx="67">
                  <c:v>2.791198145814731</c:v>
                </c:pt>
                <c:pt idx="68">
                  <c:v>2.74690858391849</c:v>
                </c:pt>
                <c:pt idx="69">
                  <c:v>2.7001938683698414</c:v>
                </c:pt>
                <c:pt idx="70">
                  <c:v>2.651058426893614</c:v>
                </c:pt>
                <c:pt idx="71">
                  <c:v>2.5995066636659585</c:v>
                </c:pt>
                <c:pt idx="72">
                  <c:v>2.5455429595760886</c:v>
                </c:pt>
                <c:pt idx="73">
                  <c:v>2.4891716724856674</c:v>
                </c:pt>
                <c:pt idx="74">
                  <c:v>2.4303971374858633</c:v>
                </c:pt>
                <c:pt idx="75">
                  <c:v>2.3692236671521036</c:v>
                </c:pt>
                <c:pt idx="76">
                  <c:v>2.3056555517965474</c:v>
                </c:pt>
                <c:pt idx="77">
                  <c:v>2.239697059718303</c:v>
                </c:pt>
                <c:pt idx="78">
                  <c:v>2.1713524374514153</c:v>
                </c:pt>
                <c:pt idx="79">
                  <c:v>2.1006259100106472</c:v>
                </c:pt>
                <c:pt idx="80">
                  <c:v>2.0275216811350734</c:v>
                </c:pt>
                <c:pt idx="81">
                  <c:v>1.952043933529514</c:v>
                </c:pt>
                <c:pt idx="82">
                  <c:v>1.8741968291038318</c:v>
                </c:pt>
                <c:pt idx="83">
                  <c:v>1.7939845092101077</c:v>
                </c:pt>
                <c:pt idx="84">
                  <c:v>1.711411094877724</c:v>
                </c:pt>
                <c:pt idx="85">
                  <c:v>1.6264806870463737</c:v>
                </c:pt>
                <c:pt idx="86">
                  <c:v>1.5391973667970154</c:v>
                </c:pt>
                <c:pt idx="87">
                  <c:v>1.4495651955807962</c:v>
                </c:pt>
                <c:pt idx="88">
                  <c:v>1.3575882154459642</c:v>
                </c:pt>
                <c:pt idx="89">
                  <c:v>1.2632704492627866</c:v>
                </c:pt>
                <c:pt idx="90">
                  <c:v>1.166615900946497</c:v>
                </c:pt>
                <c:pt idx="91">
                  <c:v>1.0676285556782887</c:v>
                </c:pt>
                <c:pt idx="92">
                  <c:v>0.9663123801243757</c:v>
                </c:pt>
                <c:pt idx="93">
                  <c:v>0.8626713226531354</c:v>
                </c:pt>
                <c:pt idx="94">
                  <c:v>0.7567093135503572</c:v>
                </c:pt>
                <c:pt idx="95">
                  <c:v>0.6484302652326109</c:v>
                </c:pt>
                <c:pt idx="96">
                  <c:v>0.5378380724587547</c:v>
                </c:pt>
                <c:pt idx="97">
                  <c:v>0.42493661253959913</c:v>
                </c:pt>
                <c:pt idx="98">
                  <c:v>0.30972974554574495</c:v>
                </c:pt>
                <c:pt idx="99">
                  <c:v>0.19222131451361205</c:v>
                </c:pt>
                <c:pt idx="100">
                  <c:v>0.07241514564967552</c:v>
                </c:pt>
              </c:numCache>
            </c:numRef>
          </c:yVal>
          <c:smooth val="0"/>
        </c:ser>
        <c:axId val="65547565"/>
        <c:axId val="53057174"/>
      </c:scatterChart>
      <c:valAx>
        <c:axId val="65547565"/>
        <c:scaling>
          <c:orientation val="minMax"/>
        </c:scaling>
        <c:axPos val="b"/>
        <c:majorGridlines>
          <c:spPr>
            <a:ln w="3175">
              <a:solidFill>
                <a:srgbClr val="969696"/>
              </a:solidFill>
            </a:ln>
          </c:spPr>
        </c:majorGridlines>
        <c:delete val="0"/>
        <c:numFmt formatCode="0" sourceLinked="0"/>
        <c:majorTickMark val="out"/>
        <c:minorTickMark val="none"/>
        <c:tickLblPos val="nextTo"/>
        <c:spPr>
          <a:ln w="38100">
            <a:solidFill>
              <a:srgbClr val="808080"/>
            </a:solidFill>
          </a:ln>
        </c:spPr>
        <c:txPr>
          <a:bodyPr/>
          <a:lstStyle/>
          <a:p>
            <a:pPr>
              <a:defRPr lang="en-US" cap="none" sz="1000" b="1" i="0" u="none" baseline="0">
                <a:solidFill>
                  <a:srgbClr val="808080"/>
                </a:solidFill>
                <a:latin typeface="Arial"/>
                <a:ea typeface="Arial"/>
                <a:cs typeface="Arial"/>
              </a:defRPr>
            </a:pPr>
          </a:p>
        </c:txPr>
        <c:crossAx val="53057174"/>
        <c:crosses val="autoZero"/>
        <c:crossBetween val="midCat"/>
        <c:dispUnits/>
      </c:valAx>
      <c:valAx>
        <c:axId val="53057174"/>
        <c:scaling>
          <c:orientation val="minMax"/>
        </c:scaling>
        <c:axPos val="l"/>
        <c:majorGridlines>
          <c:spPr>
            <a:ln w="3175">
              <a:solidFill>
                <a:srgbClr val="969696"/>
              </a:solidFill>
            </a:ln>
          </c:spPr>
        </c:majorGridlines>
        <c:delete val="0"/>
        <c:numFmt formatCode="General" sourceLinked="1"/>
        <c:majorTickMark val="out"/>
        <c:minorTickMark val="none"/>
        <c:tickLblPos val="nextTo"/>
        <c:spPr>
          <a:ln w="38100">
            <a:solidFill>
              <a:srgbClr val="808080"/>
            </a:solidFill>
          </a:ln>
        </c:spPr>
        <c:txPr>
          <a:bodyPr/>
          <a:lstStyle/>
          <a:p>
            <a:pPr>
              <a:defRPr lang="en-US" cap="none" sz="1000" b="1" i="0" u="none" baseline="0">
                <a:solidFill>
                  <a:srgbClr val="969696"/>
                </a:solidFill>
              </a:defRPr>
            </a:pPr>
          </a:p>
        </c:txPr>
        <c:crossAx val="65547565"/>
        <c:crosses val="autoZero"/>
        <c:crossBetween val="midCat"/>
        <c:dispUnits/>
      </c:valAx>
      <c:spPr>
        <a:solidFill>
          <a:srgbClr val="FFFFFF"/>
        </a:solidFill>
        <a:ln w="12700">
          <a:solidFill>
            <a:srgbClr val="808080"/>
          </a:solidFill>
        </a:ln>
      </c:spPr>
    </c:plotArea>
    <c:legend>
      <c:legendPos val="r"/>
      <c:layout>
        <c:manualLayout>
          <c:xMode val="edge"/>
          <c:yMode val="edge"/>
          <c:x val="0.3455"/>
          <c:y val="0.96825"/>
          <c:w val="0.33075"/>
          <c:h val="0.03175"/>
        </c:manualLayout>
      </c:layout>
      <c:overlay val="0"/>
      <c:spPr>
        <a:ln w="3175">
          <a:noFill/>
        </a:ln>
      </c:spPr>
      <c:txPr>
        <a:bodyPr vert="horz" rot="0"/>
        <a:lstStyle/>
        <a:p>
          <a:pPr>
            <a:defRPr lang="en-US" cap="none" sz="1200" b="1" i="0" u="none" baseline="0">
              <a:solidFill>
                <a:srgbClr val="808080"/>
              </a:solidFill>
            </a:defRPr>
          </a:pPr>
        </a:p>
      </c:txPr>
    </c:legend>
    <c:plotVisOnly val="1"/>
    <c:dispBlanksAs val="gap"/>
    <c:showDLblsOverMax val="0"/>
  </c:chart>
  <c:txPr>
    <a:bodyPr vert="horz" rot="0"/>
    <a:lstStyle/>
    <a:p>
      <a:pPr>
        <a:defRPr lang="en-US" cap="none" sz="19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0751283"/>
        <c:axId val="29652684"/>
      </c:barChart>
      <c:catAx>
        <c:axId val="10751283"/>
        <c:scaling>
          <c:orientation val="minMax"/>
        </c:scaling>
        <c:axPos val="b"/>
        <c:delete val="0"/>
        <c:numFmt formatCode="General" sourceLinked="1"/>
        <c:majorTickMark val="out"/>
        <c:minorTickMark val="none"/>
        <c:tickLblPos val="nextTo"/>
        <c:crossAx val="29652684"/>
        <c:crosses val="autoZero"/>
        <c:auto val="1"/>
        <c:lblOffset val="100"/>
        <c:noMultiLvlLbl val="0"/>
      </c:catAx>
      <c:valAx>
        <c:axId val="29652684"/>
        <c:scaling>
          <c:orientation val="minMax"/>
        </c:scaling>
        <c:axPos val="l"/>
        <c:majorGridlines/>
        <c:delete val="0"/>
        <c:numFmt formatCode="General" sourceLinked="1"/>
        <c:majorTickMark val="out"/>
        <c:minorTickMark val="none"/>
        <c:tickLblPos val="nextTo"/>
        <c:crossAx val="10751283"/>
        <c:crossesAt val="1"/>
        <c:crossBetween val="between"/>
        <c:dispUnits/>
      </c:valAx>
      <c:spPr>
        <a:solidFill>
          <a:srgbClr val="DDDDDD"/>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92"/>
  </sheetViews>
  <pageMargins left="0.75" right="0.75" top="1" bottom="1" header="0.5" footer="0.5"/>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5.png" /><Relationship Id="rId4" Type="http://schemas.openxmlformats.org/officeDocument/2006/relationships/image" Target="../media/image4.png" /><Relationship Id="rId5"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142875</xdr:colOff>
      <xdr:row>2</xdr:row>
      <xdr:rowOff>76200</xdr:rowOff>
    </xdr:from>
    <xdr:to>
      <xdr:col>14</xdr:col>
      <xdr:colOff>142875</xdr:colOff>
      <xdr:row>2</xdr:row>
      <xdr:rowOff>171450</xdr:rowOff>
    </xdr:to>
    <xdr:pic>
      <xdr:nvPicPr>
        <xdr:cNvPr id="1" name="Picture 2"/>
        <xdr:cNvPicPr preferRelativeResize="1">
          <a:picLocks noChangeAspect="1"/>
        </xdr:cNvPicPr>
      </xdr:nvPicPr>
      <xdr:blipFill>
        <a:blip r:embed="rId1"/>
        <a:stretch>
          <a:fillRect/>
        </a:stretch>
      </xdr:blipFill>
      <xdr:spPr>
        <a:xfrm>
          <a:off x="3000375" y="628650"/>
          <a:ext cx="476250" cy="95250"/>
        </a:xfrm>
        <a:prstGeom prst="rect">
          <a:avLst/>
        </a:prstGeom>
        <a:noFill/>
        <a:ln w="9525" cmpd="sng">
          <a:noFill/>
        </a:ln>
      </xdr:spPr>
    </xdr:pic>
    <xdr:clientData/>
  </xdr:twoCellAnchor>
  <xdr:twoCellAnchor editAs="oneCell">
    <xdr:from>
      <xdr:col>31</xdr:col>
      <xdr:colOff>152400</xdr:colOff>
      <xdr:row>2</xdr:row>
      <xdr:rowOff>66675</xdr:rowOff>
    </xdr:from>
    <xdr:to>
      <xdr:col>33</xdr:col>
      <xdr:colOff>152400</xdr:colOff>
      <xdr:row>2</xdr:row>
      <xdr:rowOff>161925</xdr:rowOff>
    </xdr:to>
    <xdr:pic>
      <xdr:nvPicPr>
        <xdr:cNvPr id="2" name="Picture 3"/>
        <xdr:cNvPicPr preferRelativeResize="1">
          <a:picLocks noChangeAspect="1"/>
        </xdr:cNvPicPr>
      </xdr:nvPicPr>
      <xdr:blipFill>
        <a:blip r:embed="rId2"/>
        <a:stretch>
          <a:fillRect/>
        </a:stretch>
      </xdr:blipFill>
      <xdr:spPr>
        <a:xfrm>
          <a:off x="7534275" y="619125"/>
          <a:ext cx="476250" cy="95250"/>
        </a:xfrm>
        <a:prstGeom prst="rect">
          <a:avLst/>
        </a:prstGeom>
        <a:noFill/>
        <a:ln w="9525" cmpd="sng">
          <a:noFill/>
        </a:ln>
      </xdr:spPr>
    </xdr:pic>
    <xdr:clientData/>
  </xdr:twoCellAnchor>
  <xdr:twoCellAnchor editAs="oneCell">
    <xdr:from>
      <xdr:col>27</xdr:col>
      <xdr:colOff>123825</xdr:colOff>
      <xdr:row>16</xdr:row>
      <xdr:rowOff>171450</xdr:rowOff>
    </xdr:from>
    <xdr:to>
      <xdr:col>37</xdr:col>
      <xdr:colOff>123825</xdr:colOff>
      <xdr:row>23</xdr:row>
      <xdr:rowOff>47625</xdr:rowOff>
    </xdr:to>
    <xdr:pic>
      <xdr:nvPicPr>
        <xdr:cNvPr id="3" name="Picture 16"/>
        <xdr:cNvPicPr preferRelativeResize="1">
          <a:picLocks noChangeAspect="1"/>
        </xdr:cNvPicPr>
      </xdr:nvPicPr>
      <xdr:blipFill>
        <a:blip r:embed="rId3"/>
        <a:stretch>
          <a:fillRect/>
        </a:stretch>
      </xdr:blipFill>
      <xdr:spPr>
        <a:xfrm>
          <a:off x="6553200" y="3657600"/>
          <a:ext cx="2381250" cy="1343025"/>
        </a:xfrm>
        <a:prstGeom prst="rect">
          <a:avLst/>
        </a:prstGeom>
        <a:noFill/>
        <a:ln w="9525" cmpd="sng">
          <a:noFill/>
        </a:ln>
      </xdr:spPr>
    </xdr:pic>
    <xdr:clientData/>
  </xdr:twoCellAnchor>
  <xdr:twoCellAnchor editAs="oneCell">
    <xdr:from>
      <xdr:col>18</xdr:col>
      <xdr:colOff>133350</xdr:colOff>
      <xdr:row>14</xdr:row>
      <xdr:rowOff>142875</xdr:rowOff>
    </xdr:from>
    <xdr:to>
      <xdr:col>20</xdr:col>
      <xdr:colOff>133350</xdr:colOff>
      <xdr:row>16</xdr:row>
      <xdr:rowOff>104775</xdr:rowOff>
    </xdr:to>
    <xdr:pic>
      <xdr:nvPicPr>
        <xdr:cNvPr id="4" name="Picture 18"/>
        <xdr:cNvPicPr preferRelativeResize="1">
          <a:picLocks noChangeAspect="1"/>
        </xdr:cNvPicPr>
      </xdr:nvPicPr>
      <xdr:blipFill>
        <a:blip r:embed="rId4"/>
        <a:stretch>
          <a:fillRect/>
        </a:stretch>
      </xdr:blipFill>
      <xdr:spPr>
        <a:xfrm>
          <a:off x="4419600" y="3209925"/>
          <a:ext cx="476250" cy="381000"/>
        </a:xfrm>
        <a:prstGeom prst="rect">
          <a:avLst/>
        </a:prstGeom>
        <a:noFill/>
        <a:ln w="9525" cmpd="sng">
          <a:noFill/>
        </a:ln>
      </xdr:spPr>
    </xdr:pic>
    <xdr:clientData/>
  </xdr:twoCellAnchor>
  <xdr:twoCellAnchor editAs="oneCell">
    <xdr:from>
      <xdr:col>2</xdr:col>
      <xdr:colOff>85725</xdr:colOff>
      <xdr:row>16</xdr:row>
      <xdr:rowOff>161925</xdr:rowOff>
    </xdr:from>
    <xdr:to>
      <xdr:col>10</xdr:col>
      <xdr:colOff>180975</xdr:colOff>
      <xdr:row>23</xdr:row>
      <xdr:rowOff>38100</xdr:rowOff>
    </xdr:to>
    <xdr:pic>
      <xdr:nvPicPr>
        <xdr:cNvPr id="5" name="Picture 19"/>
        <xdr:cNvPicPr preferRelativeResize="1">
          <a:picLocks noChangeAspect="1"/>
        </xdr:cNvPicPr>
      </xdr:nvPicPr>
      <xdr:blipFill>
        <a:blip r:embed="rId5"/>
        <a:stretch>
          <a:fillRect/>
        </a:stretch>
      </xdr:blipFill>
      <xdr:spPr>
        <a:xfrm>
          <a:off x="561975" y="3648075"/>
          <a:ext cx="2000250" cy="134302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1</cdr:y>
    </cdr:to>
    <cdr:graphicFrame>
      <cdr:nvGraphicFramePr>
        <cdr:cNvPr id="1" name="Chart 1"/>
        <cdr:cNvGraphicFramePr/>
      </cdr:nvGraphicFramePr>
      <cdr:xfrm>
        <a:off x="0" y="0"/>
        <a:ext cx="9239250" cy="5743575"/>
      </cdr:xfrm>
      <a:graphic>
        <a:graphicData uri="http://schemas.openxmlformats.org/drawingml/2006/chart">
          <c:chart r:id="rId1"/>
        </a:graphicData>
      </a:graphic>
    </cdr:graphicFrame>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O31"/>
  <sheetViews>
    <sheetView tabSelected="1" workbookViewId="0" topLeftCell="A1">
      <selection activeCell="T26" sqref="T26"/>
    </sheetView>
  </sheetViews>
  <sheetFormatPr defaultColWidth="9.140625" defaultRowHeight="16.5" customHeight="1"/>
  <cols>
    <col min="1" max="16384" width="3.57421875" style="57" customWidth="1"/>
  </cols>
  <sheetData>
    <row r="1" spans="1:41" s="55" customFormat="1" ht="27" customHeight="1">
      <c r="A1" s="1"/>
      <c r="B1" s="2" t="s">
        <v>84</v>
      </c>
      <c r="C1" s="2"/>
      <c r="D1" s="54"/>
      <c r="E1" s="54"/>
      <c r="F1" s="3"/>
      <c r="G1" s="4"/>
      <c r="H1" s="4"/>
      <c r="I1" s="2"/>
      <c r="J1" s="2"/>
      <c r="K1" s="5"/>
      <c r="L1" s="5"/>
      <c r="M1" s="5"/>
      <c r="N1" s="5"/>
      <c r="O1" s="5"/>
      <c r="P1" s="5"/>
      <c r="Q1" s="5"/>
      <c r="R1" s="5"/>
      <c r="S1" s="54"/>
      <c r="T1" s="54"/>
      <c r="U1" s="54"/>
      <c r="V1" s="54"/>
      <c r="W1" s="54"/>
      <c r="X1" s="54"/>
      <c r="Y1" s="54"/>
      <c r="Z1" s="54"/>
      <c r="AA1" s="54"/>
      <c r="AB1" s="54"/>
      <c r="AC1" s="54"/>
      <c r="AD1" s="54"/>
      <c r="AE1" s="54"/>
      <c r="AF1" s="54"/>
      <c r="AG1" s="54"/>
      <c r="AH1" s="54"/>
      <c r="AI1" s="54"/>
      <c r="AJ1" s="54"/>
      <c r="AK1" s="54"/>
      <c r="AL1" s="156" t="s">
        <v>259</v>
      </c>
      <c r="AM1" s="54"/>
      <c r="AN1" s="54"/>
      <c r="AO1" s="54"/>
    </row>
    <row r="2" spans="2:19" ht="16.5" customHeight="1">
      <c r="B2" s="58"/>
      <c r="C2" s="58"/>
      <c r="D2" s="58"/>
      <c r="E2" s="58"/>
      <c r="F2" s="58"/>
      <c r="G2" s="58"/>
      <c r="H2" s="58"/>
      <c r="I2" s="58"/>
      <c r="J2" s="58"/>
      <c r="K2" s="58"/>
      <c r="L2" s="58"/>
      <c r="M2" s="58"/>
      <c r="N2" s="58"/>
      <c r="O2" s="58"/>
      <c r="P2" s="58"/>
      <c r="Q2" s="58"/>
      <c r="R2" s="58"/>
      <c r="S2" s="58"/>
    </row>
    <row r="3" spans="1:39" ht="16.5" customHeight="1">
      <c r="A3" s="59"/>
      <c r="B3" s="60"/>
      <c r="C3" s="61"/>
      <c r="D3" s="62"/>
      <c r="E3" s="62"/>
      <c r="F3" s="61"/>
      <c r="G3" s="61"/>
      <c r="H3" s="61"/>
      <c r="I3" s="61"/>
      <c r="J3" s="61"/>
      <c r="K3" s="63" t="s">
        <v>79</v>
      </c>
      <c r="L3" s="63"/>
      <c r="M3" s="61"/>
      <c r="N3" s="61"/>
      <c r="O3" s="61"/>
      <c r="P3" s="61"/>
      <c r="Q3" s="61"/>
      <c r="R3" s="61"/>
      <c r="S3" s="64"/>
      <c r="T3" s="65"/>
      <c r="U3" s="60"/>
      <c r="V3" s="61"/>
      <c r="W3" s="62"/>
      <c r="X3" s="62"/>
      <c r="Y3" s="62"/>
      <c r="Z3" s="61"/>
      <c r="AA3" s="61"/>
      <c r="AB3" s="61"/>
      <c r="AC3" s="61"/>
      <c r="AD3" s="63" t="s">
        <v>80</v>
      </c>
      <c r="AE3" s="63"/>
      <c r="AF3" s="61"/>
      <c r="AG3" s="61"/>
      <c r="AH3" s="61"/>
      <c r="AI3" s="61"/>
      <c r="AJ3" s="61"/>
      <c r="AK3" s="61"/>
      <c r="AL3" s="64"/>
      <c r="AM3" s="65"/>
    </row>
    <row r="4" spans="2:39" ht="16.5" customHeight="1">
      <c r="B4" s="66" t="s">
        <v>49</v>
      </c>
      <c r="C4" s="67"/>
      <c r="D4" s="67"/>
      <c r="E4" s="67"/>
      <c r="F4" s="67"/>
      <c r="G4" s="67"/>
      <c r="H4" s="67"/>
      <c r="I4" s="68"/>
      <c r="J4" s="68"/>
      <c r="K4" s="67" t="s">
        <v>50</v>
      </c>
      <c r="L4" s="67"/>
      <c r="M4" s="67"/>
      <c r="N4" s="67"/>
      <c r="O4" s="67"/>
      <c r="P4" s="67"/>
      <c r="Q4" s="69" t="s">
        <v>59</v>
      </c>
      <c r="R4" s="175">
        <f>MOD(I5,100)*25.4/1000</f>
        <v>0.35559999999999997</v>
      </c>
      <c r="S4" s="176"/>
      <c r="T4" s="130"/>
      <c r="U4" s="66" t="s">
        <v>49</v>
      </c>
      <c r="V4" s="67"/>
      <c r="W4" s="67"/>
      <c r="X4" s="67"/>
      <c r="Y4" s="67"/>
      <c r="Z4" s="67"/>
      <c r="AA4" s="67"/>
      <c r="AB4" s="68"/>
      <c r="AC4" s="68"/>
      <c r="AD4" s="67" t="s">
        <v>50</v>
      </c>
      <c r="AE4" s="67"/>
      <c r="AF4" s="67"/>
      <c r="AG4" s="67"/>
      <c r="AH4" s="67"/>
      <c r="AI4" s="67"/>
      <c r="AJ4" s="69" t="s">
        <v>59</v>
      </c>
      <c r="AK4" s="175">
        <f>MOD(AB5,100)*25.4/1000</f>
        <v>0.35559999999999997</v>
      </c>
      <c r="AL4" s="176"/>
      <c r="AM4" s="70"/>
    </row>
    <row r="5" spans="2:39" ht="16.5" customHeight="1">
      <c r="B5" s="71" t="s">
        <v>48</v>
      </c>
      <c r="C5" s="72"/>
      <c r="D5" s="72"/>
      <c r="E5" s="72"/>
      <c r="F5" s="72"/>
      <c r="G5" s="72"/>
      <c r="H5" s="73" t="s">
        <v>51</v>
      </c>
      <c r="I5" s="170">
        <v>2114</v>
      </c>
      <c r="J5" s="170"/>
      <c r="K5" s="72" t="s">
        <v>42</v>
      </c>
      <c r="L5" s="72"/>
      <c r="M5" s="72"/>
      <c r="N5" s="72"/>
      <c r="O5" s="72"/>
      <c r="P5" s="72"/>
      <c r="Q5" s="73" t="s">
        <v>56</v>
      </c>
      <c r="R5" s="171">
        <f>(R6-R4)*R4*PI()*2.8*I6/1000+I7/15.432+IF(I8="N",1.4,3.1)</f>
        <v>26.7682656054061</v>
      </c>
      <c r="S5" s="172"/>
      <c r="T5" s="65"/>
      <c r="U5" s="71" t="s">
        <v>48</v>
      </c>
      <c r="V5" s="72"/>
      <c r="W5" s="72"/>
      <c r="X5" s="72"/>
      <c r="Y5" s="72"/>
      <c r="Z5" s="72"/>
      <c r="AA5" s="73" t="s">
        <v>47</v>
      </c>
      <c r="AB5" s="170">
        <v>2114</v>
      </c>
      <c r="AC5" s="170"/>
      <c r="AD5" s="72" t="s">
        <v>42</v>
      </c>
      <c r="AE5" s="72"/>
      <c r="AF5" s="72"/>
      <c r="AG5" s="72"/>
      <c r="AH5" s="72"/>
      <c r="AI5" s="72"/>
      <c r="AJ5" s="73" t="s">
        <v>56</v>
      </c>
      <c r="AK5" s="171">
        <f>(AK6-AK4)*AK4*PI()*2.8*AB6/1000+AB7/15.432+IF(AB8="N",1.4,3.1)</f>
        <v>28.468265605406103</v>
      </c>
      <c r="AL5" s="172"/>
      <c r="AM5" s="70"/>
    </row>
    <row r="6" spans="2:39" ht="16.5" customHeight="1">
      <c r="B6" s="71" t="s">
        <v>86</v>
      </c>
      <c r="C6" s="72"/>
      <c r="D6" s="72"/>
      <c r="E6" s="72"/>
      <c r="F6" s="72"/>
      <c r="G6" s="72"/>
      <c r="H6" s="73" t="s">
        <v>52</v>
      </c>
      <c r="I6" s="170">
        <v>762</v>
      </c>
      <c r="J6" s="170"/>
      <c r="K6" s="72" t="s">
        <v>43</v>
      </c>
      <c r="L6" s="72"/>
      <c r="M6" s="72"/>
      <c r="N6" s="72"/>
      <c r="O6" s="72"/>
      <c r="P6" s="72"/>
      <c r="Q6" s="73" t="s">
        <v>52</v>
      </c>
      <c r="R6" s="171">
        <f>TRUNC(I5/100)*25.4/64</f>
        <v>8.334375</v>
      </c>
      <c r="S6" s="172"/>
      <c r="T6" s="65"/>
      <c r="U6" s="71" t="s">
        <v>86</v>
      </c>
      <c r="V6" s="72"/>
      <c r="W6" s="72"/>
      <c r="X6" s="72"/>
      <c r="Y6" s="72"/>
      <c r="Z6" s="72"/>
      <c r="AA6" s="73" t="s">
        <v>26</v>
      </c>
      <c r="AB6" s="170">
        <v>762</v>
      </c>
      <c r="AC6" s="170"/>
      <c r="AD6" s="72" t="s">
        <v>43</v>
      </c>
      <c r="AE6" s="72"/>
      <c r="AF6" s="72"/>
      <c r="AG6" s="72"/>
      <c r="AH6" s="72"/>
      <c r="AI6" s="72"/>
      <c r="AJ6" s="73" t="s">
        <v>52</v>
      </c>
      <c r="AK6" s="171">
        <f>TRUNC(AB5/100)*25.4/64</f>
        <v>8.334375</v>
      </c>
      <c r="AL6" s="172"/>
      <c r="AM6" s="70"/>
    </row>
    <row r="7" spans="2:39" ht="16.5" customHeight="1">
      <c r="B7" s="71" t="s">
        <v>180</v>
      </c>
      <c r="C7" s="72"/>
      <c r="D7" s="72"/>
      <c r="E7" s="72"/>
      <c r="F7" s="72"/>
      <c r="G7" s="72"/>
      <c r="H7" s="73" t="s">
        <v>53</v>
      </c>
      <c r="I7" s="170">
        <v>98</v>
      </c>
      <c r="J7" s="170"/>
      <c r="K7" s="72" t="s">
        <v>44</v>
      </c>
      <c r="L7" s="72"/>
      <c r="M7" s="72"/>
      <c r="N7" s="72"/>
      <c r="O7" s="72"/>
      <c r="P7" s="72"/>
      <c r="Q7" s="73" t="s">
        <v>256</v>
      </c>
      <c r="R7" s="173">
        <f>(R5/1000)/(IF(I8="N",1.9,1.6)*(R6/2)^2*PI()/10^6)</f>
        <v>258.2442591654007</v>
      </c>
      <c r="S7" s="174"/>
      <c r="T7" s="65"/>
      <c r="U7" s="71" t="s">
        <v>180</v>
      </c>
      <c r="V7" s="72"/>
      <c r="W7" s="72"/>
      <c r="X7" s="72"/>
      <c r="Y7" s="72"/>
      <c r="Z7" s="72"/>
      <c r="AA7" s="73" t="s">
        <v>27</v>
      </c>
      <c r="AB7" s="170">
        <v>98</v>
      </c>
      <c r="AC7" s="170"/>
      <c r="AD7" s="72" t="s">
        <v>44</v>
      </c>
      <c r="AE7" s="72"/>
      <c r="AF7" s="72"/>
      <c r="AG7" s="72"/>
      <c r="AH7" s="72"/>
      <c r="AI7" s="72"/>
      <c r="AJ7" s="73" t="s">
        <v>256</v>
      </c>
      <c r="AK7" s="173">
        <f>(AK5/1000)/(IF(AB8="N",1.9,1.6)*(AK6/2)^2*PI()/10^6)</f>
        <v>326.14075356510205</v>
      </c>
      <c r="AL7" s="174"/>
      <c r="AM7" s="70"/>
    </row>
    <row r="8" spans="2:39" ht="16.5" customHeight="1">
      <c r="B8" s="71" t="s">
        <v>179</v>
      </c>
      <c r="C8" s="72"/>
      <c r="D8" s="72"/>
      <c r="E8" s="72"/>
      <c r="F8" s="72"/>
      <c r="G8" s="72"/>
      <c r="H8" s="74" t="s">
        <v>6</v>
      </c>
      <c r="I8" s="170" t="s">
        <v>260</v>
      </c>
      <c r="J8" s="170"/>
      <c r="K8" s="72" t="s">
        <v>45</v>
      </c>
      <c r="L8" s="72"/>
      <c r="M8" s="72"/>
      <c r="N8" s="72"/>
      <c r="O8" s="72"/>
      <c r="P8" s="72"/>
      <c r="Q8" s="75" t="s">
        <v>55</v>
      </c>
      <c r="R8" s="171">
        <f>ATAN((I12-I13)/762)/PI()*180</f>
        <v>2.4797637918170983</v>
      </c>
      <c r="S8" s="172"/>
      <c r="T8" s="65"/>
      <c r="U8" s="71" t="s">
        <v>179</v>
      </c>
      <c r="V8" s="72"/>
      <c r="W8" s="72"/>
      <c r="X8" s="72"/>
      <c r="Y8" s="72"/>
      <c r="Z8" s="72"/>
      <c r="AA8" s="74" t="s">
        <v>82</v>
      </c>
      <c r="AB8" s="170" t="s">
        <v>39</v>
      </c>
      <c r="AC8" s="170"/>
      <c r="AD8" s="72" t="s">
        <v>45</v>
      </c>
      <c r="AE8" s="72"/>
      <c r="AF8" s="72"/>
      <c r="AG8" s="72"/>
      <c r="AH8" s="72"/>
      <c r="AI8" s="72"/>
      <c r="AJ8" s="75" t="s">
        <v>55</v>
      </c>
      <c r="AK8" s="171">
        <f>ATAN((AB12-AB13)/762)/PI()*180</f>
        <v>2.4797637918170983</v>
      </c>
      <c r="AL8" s="172"/>
      <c r="AM8" s="70"/>
    </row>
    <row r="9" spans="2:39" ht="16.5" customHeight="1">
      <c r="B9" s="71" t="s">
        <v>81</v>
      </c>
      <c r="C9" s="72"/>
      <c r="D9" s="72"/>
      <c r="E9" s="72"/>
      <c r="F9" s="72"/>
      <c r="G9" s="72"/>
      <c r="H9" s="74" t="s">
        <v>83</v>
      </c>
      <c r="I9" s="170" t="s">
        <v>214</v>
      </c>
      <c r="J9" s="170"/>
      <c r="K9" s="72" t="s">
        <v>46</v>
      </c>
      <c r="L9" s="72"/>
      <c r="M9" s="72"/>
      <c r="N9" s="72"/>
      <c r="O9" s="72"/>
      <c r="P9" s="72"/>
      <c r="Q9" s="75" t="s">
        <v>55</v>
      </c>
      <c r="R9" s="171">
        <f>R8+I11</f>
        <v>6.479763791817098</v>
      </c>
      <c r="S9" s="172"/>
      <c r="T9" s="65"/>
      <c r="U9" s="71" t="s">
        <v>81</v>
      </c>
      <c r="V9" s="72"/>
      <c r="W9" s="72"/>
      <c r="X9" s="72"/>
      <c r="Y9" s="72"/>
      <c r="Z9" s="72"/>
      <c r="AA9" s="74" t="s">
        <v>83</v>
      </c>
      <c r="AB9" s="170" t="s">
        <v>208</v>
      </c>
      <c r="AC9" s="170"/>
      <c r="AD9" s="72" t="s">
        <v>46</v>
      </c>
      <c r="AE9" s="72"/>
      <c r="AF9" s="72"/>
      <c r="AG9" s="72"/>
      <c r="AH9" s="72"/>
      <c r="AI9" s="72"/>
      <c r="AJ9" s="75" t="s">
        <v>55</v>
      </c>
      <c r="AK9" s="171">
        <f>AK8+AB11</f>
        <v>6.479763791817098</v>
      </c>
      <c r="AL9" s="172"/>
      <c r="AM9" s="70"/>
    </row>
    <row r="10" spans="2:39" ht="16.5" customHeight="1">
      <c r="B10" s="71" t="s">
        <v>40</v>
      </c>
      <c r="C10" s="72"/>
      <c r="D10" s="72"/>
      <c r="E10" s="72"/>
      <c r="F10" s="72"/>
      <c r="G10" s="72"/>
      <c r="H10" s="73" t="s">
        <v>54</v>
      </c>
      <c r="I10" s="170">
        <v>45</v>
      </c>
      <c r="J10" s="170"/>
      <c r="K10" s="72" t="s">
        <v>60</v>
      </c>
      <c r="L10" s="72"/>
      <c r="M10" s="72"/>
      <c r="N10" s="72"/>
      <c r="O10" s="72"/>
      <c r="P10" s="72"/>
      <c r="Q10" s="73" t="s">
        <v>61</v>
      </c>
      <c r="R10" s="171">
        <f>I10*4.4482*IF(I9="R",0.28,0.42)</f>
        <v>56.04732</v>
      </c>
      <c r="S10" s="172"/>
      <c r="T10" s="65"/>
      <c r="U10" s="71" t="s">
        <v>40</v>
      </c>
      <c r="V10" s="72"/>
      <c r="W10" s="72"/>
      <c r="X10" s="72"/>
      <c r="Y10" s="76"/>
      <c r="Z10" s="76"/>
      <c r="AA10" s="73" t="s">
        <v>28</v>
      </c>
      <c r="AB10" s="170">
        <v>50</v>
      </c>
      <c r="AC10" s="170"/>
      <c r="AD10" s="72" t="s">
        <v>60</v>
      </c>
      <c r="AE10" s="72"/>
      <c r="AF10" s="72"/>
      <c r="AG10" s="72"/>
      <c r="AH10" s="72"/>
      <c r="AI10" s="72"/>
      <c r="AJ10" s="73" t="s">
        <v>61</v>
      </c>
      <c r="AK10" s="171">
        <f>AB10*4.4482*IF(AB9="R",0.28,0.42)</f>
        <v>93.4122</v>
      </c>
      <c r="AL10" s="172"/>
      <c r="AM10" s="70"/>
    </row>
    <row r="11" spans="2:39" ht="16.5" customHeight="1">
      <c r="B11" s="71" t="s">
        <v>41</v>
      </c>
      <c r="C11" s="72"/>
      <c r="D11" s="72"/>
      <c r="E11" s="72"/>
      <c r="F11" s="72"/>
      <c r="G11" s="72"/>
      <c r="H11" s="75" t="s">
        <v>55</v>
      </c>
      <c r="I11" s="182">
        <v>4</v>
      </c>
      <c r="J11" s="182"/>
      <c r="K11" s="72" t="s">
        <v>253</v>
      </c>
      <c r="L11" s="72"/>
      <c r="M11" s="72"/>
      <c r="N11" s="72"/>
      <c r="O11" s="72"/>
      <c r="P11" s="72"/>
      <c r="Q11" s="73" t="s">
        <v>58</v>
      </c>
      <c r="R11" s="173">
        <f>R5/(IF(I9="R",13,7)+R5)*100</f>
        <v>67.31061865008068</v>
      </c>
      <c r="S11" s="174"/>
      <c r="T11" s="65"/>
      <c r="U11" s="71" t="s">
        <v>41</v>
      </c>
      <c r="V11" s="72"/>
      <c r="W11" s="72"/>
      <c r="X11" s="72"/>
      <c r="Y11" s="72"/>
      <c r="Z11" s="72"/>
      <c r="AA11" s="75" t="s">
        <v>29</v>
      </c>
      <c r="AB11" s="182">
        <v>4</v>
      </c>
      <c r="AC11" s="182"/>
      <c r="AD11" s="72" t="s">
        <v>253</v>
      </c>
      <c r="AE11" s="72"/>
      <c r="AF11" s="72"/>
      <c r="AG11" s="72"/>
      <c r="AH11" s="72"/>
      <c r="AI11" s="72"/>
      <c r="AJ11" s="73" t="s">
        <v>58</v>
      </c>
      <c r="AK11" s="173">
        <f>AK5/(IF(AB9="R",13,7)+AK5)*100</f>
        <v>80.26404764789781</v>
      </c>
      <c r="AL11" s="174"/>
      <c r="AM11" s="70"/>
    </row>
    <row r="12" spans="2:39" ht="16.5" customHeight="1">
      <c r="B12" s="71" t="s">
        <v>181</v>
      </c>
      <c r="C12" s="72"/>
      <c r="D12" s="72"/>
      <c r="E12" s="72"/>
      <c r="F12" s="72"/>
      <c r="G12" s="72"/>
      <c r="H12" s="73" t="s">
        <v>52</v>
      </c>
      <c r="I12" s="170">
        <v>110</v>
      </c>
      <c r="J12" s="170"/>
      <c r="K12" s="72" t="s">
        <v>85</v>
      </c>
      <c r="L12" s="72"/>
      <c r="M12" s="72"/>
      <c r="N12" s="72"/>
      <c r="O12" s="72"/>
      <c r="P12" s="72"/>
      <c r="Q12" s="73" t="s">
        <v>57</v>
      </c>
      <c r="R12" s="173">
        <f>(2*R10*R11/100/R5*1000)^0.5</f>
        <v>53.09139024971592</v>
      </c>
      <c r="S12" s="174"/>
      <c r="T12" s="65"/>
      <c r="U12" s="71" t="s">
        <v>181</v>
      </c>
      <c r="V12" s="72"/>
      <c r="W12" s="72"/>
      <c r="X12" s="72"/>
      <c r="Y12" s="72"/>
      <c r="Z12" s="72"/>
      <c r="AA12" s="73" t="s">
        <v>26</v>
      </c>
      <c r="AB12" s="170">
        <v>110</v>
      </c>
      <c r="AC12" s="170"/>
      <c r="AD12" s="72" t="s">
        <v>85</v>
      </c>
      <c r="AE12" s="72"/>
      <c r="AF12" s="72"/>
      <c r="AG12" s="72"/>
      <c r="AH12" s="72"/>
      <c r="AI12" s="72"/>
      <c r="AJ12" s="73" t="s">
        <v>57</v>
      </c>
      <c r="AK12" s="173">
        <f>(2*AK10*AK11/100/AK5*1000)^0.5</f>
        <v>72.57663394755407</v>
      </c>
      <c r="AL12" s="174"/>
      <c r="AM12" s="70"/>
    </row>
    <row r="13" spans="2:39" ht="16.5" customHeight="1" thickBot="1">
      <c r="B13" s="71" t="s">
        <v>182</v>
      </c>
      <c r="C13" s="72"/>
      <c r="D13" s="72"/>
      <c r="E13" s="72"/>
      <c r="F13" s="72"/>
      <c r="G13" s="72"/>
      <c r="H13" s="73" t="s">
        <v>52</v>
      </c>
      <c r="I13" s="170">
        <v>77</v>
      </c>
      <c r="J13" s="170"/>
      <c r="K13" s="72"/>
      <c r="L13" s="72"/>
      <c r="M13" s="72"/>
      <c r="N13" s="72"/>
      <c r="O13" s="72"/>
      <c r="P13" s="72"/>
      <c r="Q13" s="73"/>
      <c r="R13" s="180"/>
      <c r="S13" s="181"/>
      <c r="T13" s="65"/>
      <c r="U13" s="71" t="s">
        <v>182</v>
      </c>
      <c r="V13" s="72"/>
      <c r="W13" s="72"/>
      <c r="X13" s="72"/>
      <c r="Y13" s="72"/>
      <c r="Z13" s="72"/>
      <c r="AA13" s="73" t="s">
        <v>26</v>
      </c>
      <c r="AB13" s="170">
        <v>77</v>
      </c>
      <c r="AC13" s="170"/>
      <c r="AD13" s="72"/>
      <c r="AE13" s="72"/>
      <c r="AF13" s="72"/>
      <c r="AG13" s="72"/>
      <c r="AH13" s="72"/>
      <c r="AI13" s="72"/>
      <c r="AJ13" s="73"/>
      <c r="AK13" s="180"/>
      <c r="AL13" s="181"/>
      <c r="AM13" s="70"/>
    </row>
    <row r="14" spans="2:39" ht="16.5" customHeight="1" thickTop="1">
      <c r="B14" s="129" t="s">
        <v>183</v>
      </c>
      <c r="C14" s="77"/>
      <c r="D14" s="77"/>
      <c r="E14" s="77"/>
      <c r="F14" s="77"/>
      <c r="G14" s="77"/>
      <c r="H14" s="131" t="s">
        <v>31</v>
      </c>
      <c r="I14" s="177">
        <v>1.225</v>
      </c>
      <c r="J14" s="177"/>
      <c r="K14" s="78"/>
      <c r="L14" s="78"/>
      <c r="M14" s="78"/>
      <c r="N14" s="78"/>
      <c r="O14" s="132" t="s">
        <v>184</v>
      </c>
      <c r="P14" s="133"/>
      <c r="Q14" s="133"/>
      <c r="R14" s="178">
        <v>1.2</v>
      </c>
      <c r="S14" s="179"/>
      <c r="T14" s="65"/>
      <c r="U14" s="129" t="s">
        <v>183</v>
      </c>
      <c r="V14" s="77"/>
      <c r="W14" s="77"/>
      <c r="X14" s="77"/>
      <c r="Y14" s="77"/>
      <c r="Z14" s="77"/>
      <c r="AA14" s="131" t="s">
        <v>31</v>
      </c>
      <c r="AB14" s="177">
        <v>1.225</v>
      </c>
      <c r="AC14" s="177"/>
      <c r="AD14" s="78"/>
      <c r="AE14" s="78"/>
      <c r="AF14" s="78"/>
      <c r="AG14" s="78"/>
      <c r="AH14" s="132" t="s">
        <v>184</v>
      </c>
      <c r="AI14" s="133"/>
      <c r="AJ14" s="133"/>
      <c r="AK14" s="178">
        <v>1.6</v>
      </c>
      <c r="AL14" s="179"/>
      <c r="AM14" s="70"/>
    </row>
    <row r="15" spans="20:39" ht="16.5" customHeight="1">
      <c r="T15" s="65"/>
      <c r="AM15" s="65"/>
    </row>
    <row r="17" spans="2:40" ht="16.5" customHeight="1">
      <c r="B17" s="93"/>
      <c r="C17" s="94"/>
      <c r="D17" s="94"/>
      <c r="E17" s="94"/>
      <c r="F17" s="94"/>
      <c r="G17" s="94"/>
      <c r="H17" s="94"/>
      <c r="I17" s="94"/>
      <c r="J17" s="94"/>
      <c r="K17" s="95"/>
      <c r="L17" s="96"/>
      <c r="N17" s="80"/>
      <c r="O17" s="80"/>
      <c r="P17" s="80"/>
      <c r="Q17" s="80"/>
      <c r="R17" s="80"/>
      <c r="S17" s="80"/>
      <c r="T17" s="80"/>
      <c r="U17" s="80"/>
      <c r="V17" s="80"/>
      <c r="W17" s="80"/>
      <c r="X17" s="80"/>
      <c r="Y17" s="80"/>
      <c r="Z17" s="80"/>
      <c r="AB17" s="98"/>
      <c r="AC17" s="94"/>
      <c r="AD17" s="94"/>
      <c r="AE17" s="94"/>
      <c r="AF17" s="94"/>
      <c r="AG17" s="94"/>
      <c r="AH17" s="94"/>
      <c r="AI17" s="94"/>
      <c r="AJ17" s="94"/>
      <c r="AK17" s="94"/>
      <c r="AL17" s="81"/>
      <c r="AM17" s="70"/>
      <c r="AN17" s="79"/>
    </row>
    <row r="18" spans="1:40" ht="16.5" customHeight="1">
      <c r="A18" s="82"/>
      <c r="B18" s="83"/>
      <c r="C18" s="56"/>
      <c r="D18" s="56"/>
      <c r="E18" s="56"/>
      <c r="F18" s="56"/>
      <c r="G18" s="56"/>
      <c r="H18" s="56"/>
      <c r="I18" s="56"/>
      <c r="J18" s="84"/>
      <c r="K18" s="84"/>
      <c r="L18" s="97"/>
      <c r="M18" s="134"/>
      <c r="N18" s="161" t="s">
        <v>245</v>
      </c>
      <c r="O18" s="162"/>
      <c r="P18" s="162"/>
      <c r="Q18" s="162"/>
      <c r="R18" s="162"/>
      <c r="S18" s="162"/>
      <c r="T18" s="162"/>
      <c r="U18" s="162"/>
      <c r="V18" s="162"/>
      <c r="W18" s="162"/>
      <c r="X18" s="162"/>
      <c r="Y18" s="162"/>
      <c r="Z18" s="163"/>
      <c r="AA18" s="135"/>
      <c r="AB18" s="85"/>
      <c r="AC18" s="56"/>
      <c r="AD18" s="56"/>
      <c r="AE18" s="56"/>
      <c r="AF18" s="56"/>
      <c r="AG18" s="56"/>
      <c r="AH18" s="56"/>
      <c r="AI18" s="56"/>
      <c r="AJ18" s="56"/>
      <c r="AK18" s="56"/>
      <c r="AL18" s="86"/>
      <c r="AM18" s="70"/>
      <c r="AN18" s="79"/>
    </row>
    <row r="19" spans="1:40" ht="16.5" customHeight="1">
      <c r="A19" s="59"/>
      <c r="B19" s="83"/>
      <c r="C19" s="56"/>
      <c r="D19" s="56"/>
      <c r="E19" s="56"/>
      <c r="F19" s="56"/>
      <c r="G19" s="56"/>
      <c r="H19" s="56"/>
      <c r="I19" s="56"/>
      <c r="J19" s="84"/>
      <c r="K19" s="84"/>
      <c r="L19" s="97"/>
      <c r="M19" s="136"/>
      <c r="N19" s="164"/>
      <c r="O19" s="165"/>
      <c r="P19" s="165"/>
      <c r="Q19" s="165"/>
      <c r="R19" s="165"/>
      <c r="S19" s="165"/>
      <c r="T19" s="165"/>
      <c r="U19" s="165"/>
      <c r="V19" s="165"/>
      <c r="W19" s="165"/>
      <c r="X19" s="165"/>
      <c r="Y19" s="165"/>
      <c r="Z19" s="166"/>
      <c r="AA19" s="137"/>
      <c r="AB19" s="85"/>
      <c r="AC19" s="56"/>
      <c r="AD19" s="56"/>
      <c r="AE19" s="56"/>
      <c r="AF19" s="56"/>
      <c r="AG19" s="56"/>
      <c r="AH19" s="56"/>
      <c r="AI19" s="56"/>
      <c r="AJ19" s="56"/>
      <c r="AK19" s="56"/>
      <c r="AL19" s="86"/>
      <c r="AM19" s="79"/>
      <c r="AN19" s="79"/>
    </row>
    <row r="20" spans="1:40" ht="16.5" customHeight="1">
      <c r="A20" s="59"/>
      <c r="B20" s="83"/>
      <c r="C20" s="56"/>
      <c r="D20" s="56"/>
      <c r="E20" s="56"/>
      <c r="F20" s="56"/>
      <c r="G20" s="56"/>
      <c r="H20" s="56"/>
      <c r="I20" s="56"/>
      <c r="J20" s="84"/>
      <c r="K20" s="84"/>
      <c r="L20" s="97"/>
      <c r="M20" s="136"/>
      <c r="N20" s="164"/>
      <c r="O20" s="165"/>
      <c r="P20" s="165"/>
      <c r="Q20" s="165"/>
      <c r="R20" s="165"/>
      <c r="S20" s="165"/>
      <c r="T20" s="165"/>
      <c r="U20" s="165"/>
      <c r="V20" s="165"/>
      <c r="W20" s="165"/>
      <c r="X20" s="165"/>
      <c r="Y20" s="165"/>
      <c r="Z20" s="166"/>
      <c r="AA20" s="137"/>
      <c r="AB20" s="85"/>
      <c r="AC20" s="56"/>
      <c r="AD20" s="56"/>
      <c r="AE20" s="56"/>
      <c r="AF20" s="56"/>
      <c r="AG20" s="56"/>
      <c r="AH20" s="56"/>
      <c r="AI20" s="56"/>
      <c r="AJ20" s="56"/>
      <c r="AK20" s="56"/>
      <c r="AL20" s="86"/>
      <c r="AM20" s="79"/>
      <c r="AN20" s="79"/>
    </row>
    <row r="21" spans="1:40" ht="16.5" customHeight="1">
      <c r="A21" s="59"/>
      <c r="B21" s="83"/>
      <c r="C21" s="56"/>
      <c r="D21" s="56"/>
      <c r="E21" s="56"/>
      <c r="F21" s="56"/>
      <c r="G21" s="56"/>
      <c r="H21" s="56"/>
      <c r="I21" s="56"/>
      <c r="J21" s="84"/>
      <c r="K21" s="84"/>
      <c r="L21" s="97"/>
      <c r="M21" s="136"/>
      <c r="N21" s="164"/>
      <c r="O21" s="165"/>
      <c r="P21" s="165"/>
      <c r="Q21" s="165"/>
      <c r="R21" s="165"/>
      <c r="S21" s="165"/>
      <c r="T21" s="165"/>
      <c r="U21" s="165"/>
      <c r="V21" s="165"/>
      <c r="W21" s="165"/>
      <c r="X21" s="165"/>
      <c r="Y21" s="165"/>
      <c r="Z21" s="166"/>
      <c r="AA21" s="137"/>
      <c r="AB21" s="85"/>
      <c r="AC21" s="56"/>
      <c r="AD21" s="56"/>
      <c r="AE21" s="56"/>
      <c r="AF21" s="56"/>
      <c r="AG21" s="56"/>
      <c r="AH21" s="56"/>
      <c r="AI21" s="56"/>
      <c r="AJ21" s="56"/>
      <c r="AK21" s="56"/>
      <c r="AL21" s="86"/>
      <c r="AM21" s="79"/>
      <c r="AN21" s="79"/>
    </row>
    <row r="22" spans="1:40" ht="16.5" customHeight="1">
      <c r="A22" s="59"/>
      <c r="B22" s="83"/>
      <c r="C22" s="56"/>
      <c r="D22" s="56"/>
      <c r="E22" s="56"/>
      <c r="F22" s="56"/>
      <c r="G22" s="56"/>
      <c r="H22" s="56"/>
      <c r="I22" s="56"/>
      <c r="J22" s="84"/>
      <c r="K22" s="84"/>
      <c r="L22" s="97"/>
      <c r="M22" s="136"/>
      <c r="N22" s="164"/>
      <c r="O22" s="165"/>
      <c r="P22" s="165"/>
      <c r="Q22" s="165"/>
      <c r="R22" s="165"/>
      <c r="S22" s="165"/>
      <c r="T22" s="165"/>
      <c r="U22" s="165"/>
      <c r="V22" s="165"/>
      <c r="W22" s="165"/>
      <c r="X22" s="165"/>
      <c r="Y22" s="165"/>
      <c r="Z22" s="166"/>
      <c r="AA22" s="137"/>
      <c r="AB22" s="85"/>
      <c r="AC22" s="56"/>
      <c r="AD22" s="56"/>
      <c r="AE22" s="56"/>
      <c r="AF22" s="56"/>
      <c r="AG22" s="56"/>
      <c r="AH22" s="56"/>
      <c r="AI22" s="56"/>
      <c r="AJ22" s="56"/>
      <c r="AK22" s="56"/>
      <c r="AL22" s="86"/>
      <c r="AM22" s="79"/>
      <c r="AN22" s="79"/>
    </row>
    <row r="23" spans="1:40" ht="16.5" customHeight="1">
      <c r="A23" s="59"/>
      <c r="B23" s="83"/>
      <c r="C23" s="56"/>
      <c r="D23" s="56"/>
      <c r="E23" s="56"/>
      <c r="F23" s="56"/>
      <c r="G23" s="56"/>
      <c r="H23" s="56"/>
      <c r="I23" s="56"/>
      <c r="J23" s="84"/>
      <c r="K23" s="84"/>
      <c r="L23" s="97"/>
      <c r="M23" s="136"/>
      <c r="N23" s="164"/>
      <c r="O23" s="165"/>
      <c r="P23" s="165"/>
      <c r="Q23" s="165"/>
      <c r="R23" s="165"/>
      <c r="S23" s="165"/>
      <c r="T23" s="165"/>
      <c r="U23" s="165"/>
      <c r="V23" s="165"/>
      <c r="W23" s="165"/>
      <c r="X23" s="165"/>
      <c r="Y23" s="165"/>
      <c r="Z23" s="166"/>
      <c r="AA23" s="137"/>
      <c r="AB23" s="85"/>
      <c r="AC23" s="56"/>
      <c r="AD23" s="56"/>
      <c r="AE23" s="56"/>
      <c r="AF23" s="56"/>
      <c r="AG23" s="56"/>
      <c r="AH23" s="56"/>
      <c r="AI23" s="56"/>
      <c r="AJ23" s="56"/>
      <c r="AK23" s="56"/>
      <c r="AL23" s="86"/>
      <c r="AM23" s="79"/>
      <c r="AN23" s="79"/>
    </row>
    <row r="24" spans="1:40" ht="16.5" customHeight="1">
      <c r="A24" s="59"/>
      <c r="B24" s="82"/>
      <c r="C24" s="87"/>
      <c r="D24" s="87"/>
      <c r="E24" s="87"/>
      <c r="F24" s="87"/>
      <c r="G24" s="87"/>
      <c r="H24" s="87"/>
      <c r="I24" s="87"/>
      <c r="J24" s="87"/>
      <c r="K24" s="87"/>
      <c r="L24" s="88"/>
      <c r="M24" s="136"/>
      <c r="N24" s="167" t="s">
        <v>261</v>
      </c>
      <c r="O24" s="168"/>
      <c r="P24" s="168"/>
      <c r="Q24" s="168"/>
      <c r="R24" s="168"/>
      <c r="S24" s="168"/>
      <c r="T24" s="168"/>
      <c r="U24" s="168"/>
      <c r="V24" s="168"/>
      <c r="W24" s="168"/>
      <c r="X24" s="168"/>
      <c r="Y24" s="168"/>
      <c r="Z24" s="169"/>
      <c r="AA24" s="137"/>
      <c r="AB24" s="82"/>
      <c r="AC24" s="87"/>
      <c r="AD24" s="87"/>
      <c r="AE24" s="87"/>
      <c r="AF24" s="87"/>
      <c r="AG24" s="87"/>
      <c r="AH24" s="87"/>
      <c r="AI24" s="87"/>
      <c r="AJ24" s="87"/>
      <c r="AK24" s="87"/>
      <c r="AL24" s="88"/>
      <c r="AM24" s="79"/>
      <c r="AN24" s="79"/>
    </row>
    <row r="25" spans="1:40" ht="16.5" customHeight="1">
      <c r="A25" s="89"/>
      <c r="B25" s="90"/>
      <c r="C25" s="90"/>
      <c r="D25" s="90"/>
      <c r="E25" s="90"/>
      <c r="F25" s="90"/>
      <c r="G25" s="90"/>
      <c r="H25" s="90"/>
      <c r="I25" s="90"/>
      <c r="J25" s="90"/>
      <c r="K25" s="90"/>
      <c r="L25" s="90"/>
      <c r="M25" s="89"/>
      <c r="N25" s="90"/>
      <c r="O25" s="90"/>
      <c r="P25" s="90"/>
      <c r="Q25" s="90"/>
      <c r="R25" s="90"/>
      <c r="S25" s="90"/>
      <c r="T25" s="90"/>
      <c r="U25" s="90"/>
      <c r="V25" s="91"/>
      <c r="W25" s="91"/>
      <c r="X25" s="91"/>
      <c r="Y25" s="91"/>
      <c r="Z25" s="91"/>
      <c r="AN25" s="79"/>
    </row>
    <row r="26" spans="20:40" ht="16.5" customHeight="1">
      <c r="T26" s="92"/>
      <c r="AN26" s="79"/>
    </row>
    <row r="28" spans="2:7" ht="16.5" customHeight="1">
      <c r="B28" s="65"/>
      <c r="C28" s="65"/>
      <c r="D28" s="65"/>
      <c r="E28" s="65"/>
      <c r="F28" s="65"/>
      <c r="G28" s="65"/>
    </row>
    <row r="29" spans="3:7" ht="16.5" customHeight="1">
      <c r="C29" s="65"/>
      <c r="D29" s="65"/>
      <c r="E29" s="65"/>
      <c r="F29" s="65"/>
      <c r="G29" s="65"/>
    </row>
    <row r="31" ht="16.5" customHeight="1">
      <c r="B31" s="65"/>
    </row>
  </sheetData>
  <sheetProtection password="E876" sheet="1" objects="1" scenarios="1"/>
  <mergeCells count="44">
    <mergeCell ref="AK14:AL14"/>
    <mergeCell ref="R9:S9"/>
    <mergeCell ref="AK4:AL4"/>
    <mergeCell ref="R8:S8"/>
    <mergeCell ref="AK11:AL11"/>
    <mergeCell ref="AK12:AL12"/>
    <mergeCell ref="AK8:AL8"/>
    <mergeCell ref="AK9:AL9"/>
    <mergeCell ref="AK5:AL5"/>
    <mergeCell ref="R12:S12"/>
    <mergeCell ref="AK6:AL6"/>
    <mergeCell ref="AK10:AL10"/>
    <mergeCell ref="AK7:AL7"/>
    <mergeCell ref="AB7:AC7"/>
    <mergeCell ref="AB8:AC8"/>
    <mergeCell ref="AB9:AC9"/>
    <mergeCell ref="AB6:AC6"/>
    <mergeCell ref="AK13:AL13"/>
    <mergeCell ref="AB13:AC13"/>
    <mergeCell ref="R10:S10"/>
    <mergeCell ref="I11:J11"/>
    <mergeCell ref="R11:S11"/>
    <mergeCell ref="AB10:AC10"/>
    <mergeCell ref="AB11:AC11"/>
    <mergeCell ref="AB12:AC12"/>
    <mergeCell ref="R13:S13"/>
    <mergeCell ref="R4:S4"/>
    <mergeCell ref="AB14:AC14"/>
    <mergeCell ref="I13:J13"/>
    <mergeCell ref="I12:J12"/>
    <mergeCell ref="I14:J14"/>
    <mergeCell ref="R14:S14"/>
    <mergeCell ref="I5:J5"/>
    <mergeCell ref="I7:J7"/>
    <mergeCell ref="I8:J8"/>
    <mergeCell ref="AB5:AC5"/>
    <mergeCell ref="R5:S5"/>
    <mergeCell ref="I6:J6"/>
    <mergeCell ref="R7:S7"/>
    <mergeCell ref="R6:S6"/>
    <mergeCell ref="N18:Z23"/>
    <mergeCell ref="N24:Z24"/>
    <mergeCell ref="I9:J9"/>
    <mergeCell ref="I10:J10"/>
  </mergeCells>
  <printOptions horizontalCentered="1"/>
  <pageMargins left="0.7874015748031497" right="0.7874015748031497" top="0.984251968503937" bottom="0.984251968503937" header="0.5118110236220472" footer="0.5118110236220472"/>
  <pageSetup fitToHeight="1" fitToWidth="1" orientation="landscape" paperSize="9" scale="9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W115"/>
  <sheetViews>
    <sheetView workbookViewId="0" topLeftCell="B1">
      <pane ySplit="13" topLeftCell="BM14" activePane="bottomLeft" state="frozen"/>
      <selection pane="topLeft" activeCell="A1" sqref="A1"/>
      <selection pane="bottomLeft" activeCell="U1" sqref="U1"/>
    </sheetView>
  </sheetViews>
  <sheetFormatPr defaultColWidth="9.8515625" defaultRowHeight="13.5" customHeight="1"/>
  <cols>
    <col min="1" max="1" width="0.9921875" style="10" customWidth="1"/>
    <col min="2" max="22" width="6.8515625" style="10" customWidth="1"/>
    <col min="23" max="23" width="6.8515625" style="10" hidden="1" customWidth="1"/>
    <col min="24" max="16384" width="6.8515625" style="10" customWidth="1"/>
  </cols>
  <sheetData>
    <row r="1" spans="1:22" ht="27" customHeight="1" thickBot="1">
      <c r="A1" s="37"/>
      <c r="B1" s="122" t="s">
        <v>246</v>
      </c>
      <c r="C1" s="24"/>
      <c r="D1" s="24"/>
      <c r="E1" s="24"/>
      <c r="F1" s="24"/>
      <c r="G1" s="24"/>
      <c r="H1" s="24"/>
      <c r="I1" s="24"/>
      <c r="J1" s="24"/>
      <c r="K1" s="24"/>
      <c r="L1" s="24"/>
      <c r="M1" s="24"/>
      <c r="N1" s="24"/>
      <c r="O1" s="24"/>
      <c r="P1" s="24"/>
      <c r="Q1" s="24"/>
      <c r="R1" s="24"/>
      <c r="S1" s="25"/>
      <c r="T1" s="155" t="s">
        <v>247</v>
      </c>
      <c r="U1" s="49"/>
      <c r="V1" s="36"/>
    </row>
    <row r="2" spans="1:23" ht="13.5" customHeight="1" thickBot="1" thickTop="1">
      <c r="A2" s="37"/>
      <c r="B2" s="34"/>
      <c r="C2" s="28" t="s">
        <v>77</v>
      </c>
      <c r="D2" s="26"/>
      <c r="E2" s="26"/>
      <c r="F2" s="26"/>
      <c r="G2" s="26"/>
      <c r="H2" s="26"/>
      <c r="I2" s="26"/>
      <c r="J2" s="27"/>
      <c r="K2" s="33"/>
      <c r="L2" s="34"/>
      <c r="M2" s="28" t="s">
        <v>78</v>
      </c>
      <c r="N2" s="26"/>
      <c r="O2" s="26"/>
      <c r="P2" s="26"/>
      <c r="Q2" s="26"/>
      <c r="R2" s="26"/>
      <c r="S2" s="26"/>
      <c r="T2" s="27"/>
      <c r="U2" s="33"/>
      <c r="V2" s="50"/>
      <c r="W2" s="153">
        <f>180/PI()</f>
        <v>57.29577951308232</v>
      </c>
    </row>
    <row r="3" spans="1:23" ht="13.5" customHeight="1" thickBot="1" thickTop="1">
      <c r="A3" s="37"/>
      <c r="B3" s="36"/>
      <c r="C3" s="14" t="s">
        <v>185</v>
      </c>
      <c r="D3" s="12"/>
      <c r="F3" s="30"/>
      <c r="G3" s="7">
        <f>dati!R14</f>
        <v>1.2</v>
      </c>
      <c r="H3" s="11" t="s">
        <v>34</v>
      </c>
      <c r="K3" s="35"/>
      <c r="L3" s="36"/>
      <c r="M3" s="14" t="s">
        <v>185</v>
      </c>
      <c r="N3" s="12"/>
      <c r="Q3" s="7">
        <f>dati!AK14</f>
        <v>1.6</v>
      </c>
      <c r="R3" s="11" t="s">
        <v>34</v>
      </c>
      <c r="S3" s="13"/>
      <c r="U3" s="35"/>
      <c r="V3" s="36"/>
      <c r="W3" s="154" t="s">
        <v>62</v>
      </c>
    </row>
    <row r="4" spans="1:22" ht="13.5" customHeight="1" thickTop="1">
      <c r="A4" s="37"/>
      <c r="B4" s="36"/>
      <c r="C4" s="14" t="s">
        <v>146</v>
      </c>
      <c r="D4" s="12"/>
      <c r="F4" s="29" t="s">
        <v>70</v>
      </c>
      <c r="G4" s="99">
        <f>dati!I14</f>
        <v>1.225</v>
      </c>
      <c r="H4" s="14" t="s">
        <v>31</v>
      </c>
      <c r="K4" s="37"/>
      <c r="L4" s="36"/>
      <c r="M4" s="14" t="s">
        <v>146</v>
      </c>
      <c r="N4" s="12"/>
      <c r="P4" s="29" t="s">
        <v>73</v>
      </c>
      <c r="Q4" s="99">
        <f>dati!AB14</f>
        <v>1.225</v>
      </c>
      <c r="R4" s="14" t="s">
        <v>31</v>
      </c>
      <c r="U4" s="37"/>
      <c r="V4" s="36"/>
    </row>
    <row r="5" spans="1:22" ht="13.5" customHeight="1">
      <c r="A5" s="37"/>
      <c r="B5" s="36"/>
      <c r="C5" s="14" t="s">
        <v>32</v>
      </c>
      <c r="D5" s="12"/>
      <c r="F5" s="29" t="s">
        <v>63</v>
      </c>
      <c r="G5" s="21">
        <f>dati!R12</f>
        <v>53.09139024971592</v>
      </c>
      <c r="H5" s="14" t="s">
        <v>33</v>
      </c>
      <c r="K5" s="37"/>
      <c r="L5" s="36"/>
      <c r="M5" s="14" t="s">
        <v>32</v>
      </c>
      <c r="N5" s="12"/>
      <c r="P5" s="29" t="s">
        <v>76</v>
      </c>
      <c r="Q5" s="21">
        <f>dati!AK12</f>
        <v>72.57663394755407</v>
      </c>
      <c r="R5" s="14" t="s">
        <v>33</v>
      </c>
      <c r="U5" s="37"/>
      <c r="V5" s="36"/>
    </row>
    <row r="6" spans="1:22" ht="13.5" customHeight="1">
      <c r="A6" s="37"/>
      <c r="B6" s="36"/>
      <c r="C6" s="14" t="s">
        <v>30</v>
      </c>
      <c r="D6" s="12"/>
      <c r="F6" s="29" t="s">
        <v>64</v>
      </c>
      <c r="G6" s="21">
        <f>dati!R7</f>
        <v>258.2442591654007</v>
      </c>
      <c r="H6" s="14" t="s">
        <v>257</v>
      </c>
      <c r="K6" s="35"/>
      <c r="L6" s="36"/>
      <c r="M6" s="14" t="s">
        <v>30</v>
      </c>
      <c r="N6" s="12"/>
      <c r="P6" s="29" t="s">
        <v>67</v>
      </c>
      <c r="Q6" s="21">
        <f>dati!AK7</f>
        <v>326.14075356510205</v>
      </c>
      <c r="R6" s="14" t="s">
        <v>257</v>
      </c>
      <c r="U6" s="35"/>
      <c r="V6" s="36"/>
    </row>
    <row r="7" spans="1:22" ht="13.5" customHeight="1">
      <c r="A7" s="37"/>
      <c r="B7" s="36"/>
      <c r="C7" s="14" t="s">
        <v>23</v>
      </c>
      <c r="D7" s="12"/>
      <c r="F7" s="29" t="s">
        <v>65</v>
      </c>
      <c r="G7" s="7">
        <f>dati!R5</f>
        <v>26.7682656054061</v>
      </c>
      <c r="H7" s="14" t="s">
        <v>24</v>
      </c>
      <c r="K7" s="35"/>
      <c r="L7" s="36"/>
      <c r="M7" s="14" t="s">
        <v>23</v>
      </c>
      <c r="N7" s="12"/>
      <c r="P7" s="29" t="s">
        <v>68</v>
      </c>
      <c r="Q7" s="7">
        <f>dati!AK5</f>
        <v>28.468265605406103</v>
      </c>
      <c r="R7" s="14" t="s">
        <v>24</v>
      </c>
      <c r="U7" s="35"/>
      <c r="V7" s="36"/>
    </row>
    <row r="8" spans="1:22" ht="13.5" customHeight="1">
      <c r="A8" s="37"/>
      <c r="B8" s="36"/>
      <c r="C8" s="14" t="s">
        <v>25</v>
      </c>
      <c r="D8" s="11"/>
      <c r="F8" s="29" t="s">
        <v>66</v>
      </c>
      <c r="G8" s="21">
        <f>dati!I6</f>
        <v>762</v>
      </c>
      <c r="H8" s="14" t="s">
        <v>26</v>
      </c>
      <c r="K8" s="35"/>
      <c r="L8" s="36"/>
      <c r="M8" s="14" t="s">
        <v>25</v>
      </c>
      <c r="N8" s="11"/>
      <c r="P8" s="29" t="s">
        <v>69</v>
      </c>
      <c r="Q8" s="21">
        <f>dati!AB6</f>
        <v>762</v>
      </c>
      <c r="R8" s="14" t="s">
        <v>26</v>
      </c>
      <c r="U8" s="35"/>
      <c r="V8" s="36"/>
    </row>
    <row r="9" spans="1:22" ht="13.5" customHeight="1">
      <c r="A9" s="37"/>
      <c r="B9" s="36"/>
      <c r="C9" s="14" t="s">
        <v>174</v>
      </c>
      <c r="D9" s="12"/>
      <c r="F9" s="29" t="s">
        <v>71</v>
      </c>
      <c r="G9" s="21">
        <f>dati!I12</f>
        <v>110</v>
      </c>
      <c r="H9" s="12" t="s">
        <v>26</v>
      </c>
      <c r="K9" s="35"/>
      <c r="L9" s="36"/>
      <c r="M9" s="14" t="s">
        <v>174</v>
      </c>
      <c r="N9" s="12"/>
      <c r="P9" s="29" t="s">
        <v>74</v>
      </c>
      <c r="Q9" s="21">
        <f>dati!AB12</f>
        <v>110</v>
      </c>
      <c r="R9" s="12" t="s">
        <v>26</v>
      </c>
      <c r="U9" s="35"/>
      <c r="V9" s="36"/>
    </row>
    <row r="10" spans="1:22" ht="13.5" customHeight="1">
      <c r="A10" s="37"/>
      <c r="B10" s="36"/>
      <c r="C10" s="14" t="s">
        <v>35</v>
      </c>
      <c r="D10" s="11"/>
      <c r="F10" s="29" t="s">
        <v>72</v>
      </c>
      <c r="G10" s="7">
        <f>dati!R9</f>
        <v>6.479763791817098</v>
      </c>
      <c r="H10" s="15" t="s">
        <v>29</v>
      </c>
      <c r="K10" s="35"/>
      <c r="L10" s="36"/>
      <c r="M10" s="14" t="s">
        <v>35</v>
      </c>
      <c r="N10" s="11"/>
      <c r="P10" s="29" t="s">
        <v>75</v>
      </c>
      <c r="Q10" s="7">
        <f>dati!AK9</f>
        <v>6.479763791817098</v>
      </c>
      <c r="R10" s="15" t="s">
        <v>29</v>
      </c>
      <c r="U10" s="35"/>
      <c r="V10" s="36"/>
    </row>
    <row r="11" spans="1:22" ht="13.5" customHeight="1">
      <c r="A11" s="37"/>
      <c r="B11" s="39" t="s">
        <v>187</v>
      </c>
      <c r="C11" s="16" t="s">
        <v>189</v>
      </c>
      <c r="D11" s="16" t="s">
        <v>202</v>
      </c>
      <c r="E11" s="16" t="s">
        <v>189</v>
      </c>
      <c r="F11" s="16" t="s">
        <v>191</v>
      </c>
      <c r="G11" s="126" t="s">
        <v>192</v>
      </c>
      <c r="H11" s="16" t="s">
        <v>200</v>
      </c>
      <c r="I11" s="16" t="s">
        <v>194</v>
      </c>
      <c r="J11" s="16" t="s">
        <v>199</v>
      </c>
      <c r="K11" s="38" t="s">
        <v>197</v>
      </c>
      <c r="L11" s="39" t="s">
        <v>187</v>
      </c>
      <c r="M11" s="16" t="s">
        <v>189</v>
      </c>
      <c r="N11" s="16" t="s">
        <v>202</v>
      </c>
      <c r="O11" s="16" t="s">
        <v>189</v>
      </c>
      <c r="P11" s="16" t="s">
        <v>191</v>
      </c>
      <c r="Q11" s="126" t="s">
        <v>192</v>
      </c>
      <c r="R11" s="16" t="s">
        <v>200</v>
      </c>
      <c r="S11" s="16" t="s">
        <v>194</v>
      </c>
      <c r="T11" s="16" t="s">
        <v>199</v>
      </c>
      <c r="U11" s="38" t="s">
        <v>197</v>
      </c>
      <c r="V11" s="36"/>
    </row>
    <row r="12" spans="1:22" s="17" customFormat="1" ht="13.5" customHeight="1">
      <c r="A12" s="52"/>
      <c r="B12" s="39" t="s">
        <v>188</v>
      </c>
      <c r="C12" s="16" t="s">
        <v>186</v>
      </c>
      <c r="D12" s="16" t="s">
        <v>190</v>
      </c>
      <c r="E12" s="16" t="s">
        <v>201</v>
      </c>
      <c r="F12" s="16" t="s">
        <v>203</v>
      </c>
      <c r="G12" s="16" t="s">
        <v>193</v>
      </c>
      <c r="H12" s="16" t="s">
        <v>193</v>
      </c>
      <c r="I12" s="16" t="s">
        <v>195</v>
      </c>
      <c r="J12" s="16" t="s">
        <v>196</v>
      </c>
      <c r="K12" s="38" t="s">
        <v>198</v>
      </c>
      <c r="L12" s="39" t="s">
        <v>188</v>
      </c>
      <c r="M12" s="16" t="s">
        <v>186</v>
      </c>
      <c r="N12" s="16" t="s">
        <v>190</v>
      </c>
      <c r="O12" s="16" t="s">
        <v>201</v>
      </c>
      <c r="P12" s="16" t="s">
        <v>203</v>
      </c>
      <c r="Q12" s="16" t="s">
        <v>193</v>
      </c>
      <c r="R12" s="16" t="s">
        <v>193</v>
      </c>
      <c r="S12" s="16" t="s">
        <v>195</v>
      </c>
      <c r="T12" s="16" t="s">
        <v>196</v>
      </c>
      <c r="U12" s="38" t="s">
        <v>198</v>
      </c>
      <c r="V12" s="51"/>
    </row>
    <row r="13" spans="1:22" ht="13.5" customHeight="1">
      <c r="A13" s="37"/>
      <c r="B13" s="41" t="s">
        <v>34</v>
      </c>
      <c r="C13" s="18" t="s">
        <v>36</v>
      </c>
      <c r="D13" s="18" t="s">
        <v>36</v>
      </c>
      <c r="E13" s="18" t="s">
        <v>36</v>
      </c>
      <c r="F13" s="19" t="s">
        <v>29</v>
      </c>
      <c r="G13" s="18" t="s">
        <v>33</v>
      </c>
      <c r="H13" s="18" t="s">
        <v>37</v>
      </c>
      <c r="I13" s="18" t="s">
        <v>38</v>
      </c>
      <c r="J13" s="18" t="s">
        <v>36</v>
      </c>
      <c r="K13" s="40" t="s">
        <v>36</v>
      </c>
      <c r="L13" s="41" t="s">
        <v>34</v>
      </c>
      <c r="M13" s="18" t="s">
        <v>36</v>
      </c>
      <c r="N13" s="18" t="s">
        <v>36</v>
      </c>
      <c r="O13" s="18" t="s">
        <v>36</v>
      </c>
      <c r="P13" s="19" t="s">
        <v>29</v>
      </c>
      <c r="Q13" s="18" t="s">
        <v>33</v>
      </c>
      <c r="R13" s="18" t="s">
        <v>37</v>
      </c>
      <c r="S13" s="18" t="s">
        <v>38</v>
      </c>
      <c r="T13" s="18" t="s">
        <v>36</v>
      </c>
      <c r="U13" s="40" t="s">
        <v>36</v>
      </c>
      <c r="V13" s="36"/>
    </row>
    <row r="14" spans="1:22" ht="13.5" customHeight="1">
      <c r="A14" s="37"/>
      <c r="B14" s="43">
        <v>0</v>
      </c>
      <c r="C14" s="31">
        <f>xlf/1000*COS(xat/rad)+xaa/1000*SIN(xat/rad)</f>
        <v>0.7695459248861661</v>
      </c>
      <c r="D14" s="32">
        <f>xlf/1000*SIN(xat/rad)-xaa/1000*COS(xat/rad)</f>
        <v>-0.023303851421925148</v>
      </c>
      <c r="E14" s="8">
        <f>(C14^2+D14^2)^0.5</f>
        <v>0.7698986946345604</v>
      </c>
      <c r="F14" s="8">
        <f>xat</f>
        <v>6.479763791817098</v>
      </c>
      <c r="G14" s="31">
        <f>xvi</f>
        <v>53.09139024971592</v>
      </c>
      <c r="H14" s="22">
        <f>xda*(G14^2)/(2*xcb)</f>
        <v>6.685341750679203</v>
      </c>
      <c r="I14" s="8">
        <f>xmf/1000/2*(G14^2)</f>
        <v>37.7257978287904</v>
      </c>
      <c r="J14" s="32">
        <v>0</v>
      </c>
      <c r="K14" s="42">
        <v>0</v>
      </c>
      <c r="L14" s="43">
        <v>0</v>
      </c>
      <c r="M14" s="31">
        <f>ylf/1000*COS(yat/rad)+yaa/1000*SIN(yat/rad)</f>
        <v>0.7695459248861661</v>
      </c>
      <c r="N14" s="32">
        <f>ylf/1000*SIN(yat/rad)-yaa/1000*COS(yat/rad)</f>
        <v>-0.023303851421925148</v>
      </c>
      <c r="O14" s="8">
        <f>(M14^2+N14^2)^0.5</f>
        <v>0.7698986946345604</v>
      </c>
      <c r="P14" s="8">
        <f>yat</f>
        <v>6.479763791817098</v>
      </c>
      <c r="Q14" s="31">
        <f>yvi</f>
        <v>72.57663394755407</v>
      </c>
      <c r="R14" s="22">
        <f>yda*(Q14^2)/(2*ycb)</f>
        <v>9.892240510475842</v>
      </c>
      <c r="S14" s="8">
        <f aca="true" t="shared" si="0" ref="S14:S45">ymf/1000/2*(Q14^2)</f>
        <v>74.97641271694958</v>
      </c>
      <c r="T14" s="32">
        <v>0</v>
      </c>
      <c r="U14" s="42">
        <v>0</v>
      </c>
      <c r="V14" s="36"/>
    </row>
    <row r="15" spans="1:22" ht="13.5" customHeight="1">
      <c r="A15" s="37"/>
      <c r="B15" s="45">
        <f>G3/100</f>
        <v>0.012</v>
      </c>
      <c r="C15" s="9">
        <f>C14+G14*xca*COS(F14/rad)</f>
        <v>1.4025726914184422</v>
      </c>
      <c r="D15" s="23">
        <f>D14+G14*xca*SIN(F14/rad)-(9.81*(xca^2)/2)</f>
        <v>0.04788764731376572</v>
      </c>
      <c r="E15" s="9">
        <f>(C15^2+D15^2)^0.5</f>
        <v>1.403389960587584</v>
      </c>
      <c r="F15" s="9">
        <f>ATAN(TAN(F14/rad)-9.81*(C15-C14)/(COS(F14/rad)^2*G14^2))*rad</f>
        <v>6.353501548507612</v>
      </c>
      <c r="G15" s="9">
        <f>SQRT(G14^2-2*9.81*(D15-D14))-(H14*xca)</f>
        <v>52.99801005803709</v>
      </c>
      <c r="H15" s="23">
        <f aca="true" t="shared" si="1" ref="H15:H46">xda*(G15^2)/(2*G$6)</f>
        <v>6.661845304919649</v>
      </c>
      <c r="I15" s="9">
        <f>xmf/1000/2*(G15^2)</f>
        <v>37.59320592915714</v>
      </c>
      <c r="J15" s="23">
        <f>C15*TAN(xat/rad)-D15</f>
        <v>0.11141354256110456</v>
      </c>
      <c r="K15" s="44">
        <f>C15*TAN(xat/rad)</f>
        <v>0.15930118987487027</v>
      </c>
      <c r="L15" s="45">
        <f>Q3/100</f>
        <v>0.016</v>
      </c>
      <c r="M15" s="9">
        <f aca="true" t="shared" si="2" ref="M15:M46">M14+Q14*yca*COS(P14/rad)</f>
        <v>1.9233538950679878</v>
      </c>
      <c r="N15" s="23">
        <f aca="true" t="shared" si="3" ref="N15:N46">N14+Q14*yca*SIN(P14/rad)-(9.81*(yca^2)/2)</f>
        <v>0.1064874964160334</v>
      </c>
      <c r="O15" s="9">
        <f aca="true" t="shared" si="4" ref="O15:O78">(M15^2+N15^2)^0.5</f>
        <v>1.9262995074925797</v>
      </c>
      <c r="P15" s="9">
        <f>ATAN(TAN(P14/rad)-9.81*(M15-M14)/(COS(P14/rad)^2*Q14^2))*rad</f>
        <v>6.356613096062402</v>
      </c>
      <c r="Q15" s="9">
        <f aca="true" t="shared" si="5" ref="Q15:Q46">SQRT(Q14^2-2*9.81*(N15-N14))-(R14*yca)</f>
        <v>72.4008124103867</v>
      </c>
      <c r="R15" s="23">
        <f aca="true" t="shared" si="6" ref="R15:R46">yda*(Q15^2)/(2*Q$6)</f>
        <v>9.844369395683527</v>
      </c>
      <c r="S15" s="9">
        <f t="shared" si="0"/>
        <v>74.61358243031349</v>
      </c>
      <c r="T15" s="23">
        <f aca="true" t="shared" si="7" ref="T15:T46">M15*TAN(yat/rad)-N15</f>
        <v>0.11196290256110449</v>
      </c>
      <c r="U15" s="44">
        <f aca="true" t="shared" si="8" ref="U15:U46">M15*TAN(yat/rad)</f>
        <v>0.2184503989771379</v>
      </c>
      <c r="V15" s="36"/>
    </row>
    <row r="16" spans="1:22" ht="13.5" customHeight="1">
      <c r="A16" s="37"/>
      <c r="B16" s="46">
        <f>B15+xca</f>
        <v>0.024</v>
      </c>
      <c r="C16" s="9">
        <f aca="true" t="shared" si="9" ref="C16:C79">C15+G15*xca*COS(F15/rad)</f>
        <v>2.034642681523172</v>
      </c>
      <c r="D16" s="23">
        <f aca="true" t="shared" si="10" ref="D16:D79">D15+G15*xca*SIN(F15/rad)-(9.81*(xca^2)/2)</f>
        <v>0.11755997254870888</v>
      </c>
      <c r="E16" s="9">
        <f aca="true" t="shared" si="11" ref="E16:E79">(C16^2+D16^2)^0.5</f>
        <v>2.038036110725582</v>
      </c>
      <c r="F16" s="9">
        <f aca="true" t="shared" si="12" ref="F16:F79">ATAN(TAN(F15/rad)-9.81*(C16-C15)/(COS(F15/rad)^2*G15^2))*rad</f>
        <v>6.2269860464049955</v>
      </c>
      <c r="G16" s="9">
        <f aca="true" t="shared" si="13" ref="G16:G79">SQRT(G15^2-2*9.81*(D16-D15))-(H15*xca)</f>
        <v>52.905169907658646</v>
      </c>
      <c r="H16" s="23">
        <f t="shared" si="1"/>
        <v>6.638525750204186</v>
      </c>
      <c r="I16" s="9">
        <f aca="true" t="shared" si="14" ref="I16:I79">xmf/1000/2*(G16^2)</f>
        <v>37.46161223664866</v>
      </c>
      <c r="J16" s="23">
        <f aca="true" t="shared" si="15" ref="J16:J79">C16*TAN(xat/rad)-D16</f>
        <v>0.11353036745288468</v>
      </c>
      <c r="K16" s="44">
        <f aca="true" t="shared" si="16" ref="K16:K79">C16*TAN(xat/rad)</f>
        <v>0.23109034000159356</v>
      </c>
      <c r="L16" s="46">
        <f aca="true" t="shared" si="17" ref="L16:L47">L15+yca</f>
        <v>0.032</v>
      </c>
      <c r="M16" s="9">
        <f t="shared" si="2"/>
        <v>3.074645020847736</v>
      </c>
      <c r="N16" s="23">
        <f t="shared" si="3"/>
        <v>0.23348710460293634</v>
      </c>
      <c r="O16" s="9">
        <f t="shared" si="4"/>
        <v>3.083497726971699</v>
      </c>
      <c r="P16" s="9">
        <f aca="true" t="shared" si="18" ref="P16:P79">ATAN(TAN(P15/rad)-9.81*(M16-M15)/(COS(P15/rad)^2*Q15^2))*rad</f>
        <v>6.233133983405273</v>
      </c>
      <c r="Q16" s="9">
        <f t="shared" si="5"/>
        <v>72.22609255163125</v>
      </c>
      <c r="R16" s="23">
        <f t="shared" si="6"/>
        <v>9.79691325847827</v>
      </c>
      <c r="S16" s="9">
        <f t="shared" si="0"/>
        <v>74.25389738977232</v>
      </c>
      <c r="T16" s="23">
        <f t="shared" si="7"/>
        <v>0.11572446443777637</v>
      </c>
      <c r="U16" s="44">
        <f t="shared" si="8"/>
        <v>0.3492115690407127</v>
      </c>
      <c r="V16" s="36"/>
    </row>
    <row r="17" spans="1:22" ht="13.5" customHeight="1">
      <c r="A17" s="37"/>
      <c r="B17" s="46">
        <f aca="true" t="shared" si="19" ref="B17:B79">B16+xca</f>
        <v>0.036000000000000004</v>
      </c>
      <c r="C17" s="9">
        <f t="shared" si="9"/>
        <v>2.6657590258207065</v>
      </c>
      <c r="D17" s="23">
        <f t="shared" si="10"/>
        <v>0.18571560420926794</v>
      </c>
      <c r="E17" s="9">
        <f t="shared" si="11"/>
        <v>2.6722203257574733</v>
      </c>
      <c r="F17" s="9">
        <f t="shared" si="12"/>
        <v>6.100218243783585</v>
      </c>
      <c r="G17" s="9">
        <f t="shared" si="13"/>
        <v>52.81286825501056</v>
      </c>
      <c r="H17" s="23">
        <f t="shared" si="1"/>
        <v>6.615381986342574</v>
      </c>
      <c r="I17" s="9">
        <f t="shared" si="14"/>
        <v>37.33101054282325</v>
      </c>
      <c r="J17" s="23">
        <f t="shared" si="15"/>
        <v>0.11705557287920801</v>
      </c>
      <c r="K17" s="44">
        <f t="shared" si="16"/>
        <v>0.30277117708847595</v>
      </c>
      <c r="L17" s="46">
        <f t="shared" si="17"/>
        <v>0.048</v>
      </c>
      <c r="M17" s="9">
        <f t="shared" si="2"/>
        <v>4.223430886377669</v>
      </c>
      <c r="N17" s="23">
        <f t="shared" si="3"/>
        <v>0.3577017284580884</v>
      </c>
      <c r="O17" s="9">
        <f t="shared" si="4"/>
        <v>4.238551518921383</v>
      </c>
      <c r="P17" s="9">
        <f t="shared" si="18"/>
        <v>6.10932724247338</v>
      </c>
      <c r="Q17" s="9">
        <f t="shared" si="5"/>
        <v>72.05246870476851</v>
      </c>
      <c r="R17" s="23">
        <f t="shared" si="6"/>
        <v>9.749868396366777</v>
      </c>
      <c r="S17" s="9">
        <f t="shared" si="0"/>
        <v>73.89732953296091</v>
      </c>
      <c r="T17" s="23">
        <f t="shared" si="7"/>
        <v>0.12198646857491569</v>
      </c>
      <c r="U17" s="44">
        <f t="shared" si="8"/>
        <v>0.4796881970330041</v>
      </c>
      <c r="V17" s="36"/>
    </row>
    <row r="18" spans="1:22" ht="13.5" customHeight="1">
      <c r="A18" s="37"/>
      <c r="B18" s="46">
        <f t="shared" si="19"/>
        <v>0.048</v>
      </c>
      <c r="C18" s="9">
        <f t="shared" si="9"/>
        <v>3.2959248354264834</v>
      </c>
      <c r="D18" s="23">
        <f t="shared" si="10"/>
        <v>0.2523570093537309</v>
      </c>
      <c r="E18" s="9">
        <f t="shared" si="11"/>
        <v>3.305571747966008</v>
      </c>
      <c r="F18" s="9">
        <f t="shared" si="12"/>
        <v>5.973199112083844</v>
      </c>
      <c r="G18" s="9">
        <f t="shared" si="13"/>
        <v>52.721103566863476</v>
      </c>
      <c r="H18" s="23">
        <f t="shared" si="1"/>
        <v>6.5924129225685</v>
      </c>
      <c r="I18" s="9">
        <f t="shared" si="14"/>
        <v>37.201394692419</v>
      </c>
      <c r="J18" s="23">
        <f t="shared" si="15"/>
        <v>0.12198704513558711</v>
      </c>
      <c r="K18" s="44">
        <f t="shared" si="16"/>
        <v>0.374344054489318</v>
      </c>
      <c r="L18" s="46">
        <f t="shared" si="17"/>
        <v>0.064</v>
      </c>
      <c r="M18" s="9">
        <f t="shared" si="2"/>
        <v>5.369722986023715</v>
      </c>
      <c r="N18" s="23">
        <f t="shared" si="3"/>
        <v>0.47913807501515604</v>
      </c>
      <c r="O18" s="9">
        <f t="shared" si="4"/>
        <v>5.391057247104752</v>
      </c>
      <c r="P18" s="9">
        <f t="shared" si="18"/>
        <v>5.985193677815249</v>
      </c>
      <c r="Q18" s="9">
        <f t="shared" si="5"/>
        <v>71.8799352594127</v>
      </c>
      <c r="R18" s="23">
        <f t="shared" si="6"/>
        <v>9.703231150374876</v>
      </c>
      <c r="S18" s="9">
        <f t="shared" si="0"/>
        <v>73.5438511273593</v>
      </c>
      <c r="T18" s="23">
        <f t="shared" si="7"/>
        <v>0.13074351344421808</v>
      </c>
      <c r="U18" s="44">
        <f t="shared" si="8"/>
        <v>0.6098815884593741</v>
      </c>
      <c r="V18" s="36"/>
    </row>
    <row r="19" spans="1:22" ht="13.5" customHeight="1">
      <c r="A19" s="37"/>
      <c r="B19" s="46">
        <f t="shared" si="19"/>
        <v>0.06</v>
      </c>
      <c r="C19" s="9">
        <f t="shared" si="9"/>
        <v>3.925143202076799</v>
      </c>
      <c r="D19" s="23">
        <f t="shared" si="10"/>
        <v>0.3174866422841232</v>
      </c>
      <c r="E19" s="9">
        <f t="shared" si="11"/>
        <v>3.937962280779052</v>
      </c>
      <c r="F19" s="9">
        <f t="shared" si="12"/>
        <v>5.8459296359306965</v>
      </c>
      <c r="G19" s="9">
        <f t="shared" si="13"/>
        <v>52.62987432017222</v>
      </c>
      <c r="H19" s="23">
        <f t="shared" si="1"/>
        <v>6.569617477438749</v>
      </c>
      <c r="I19" s="9">
        <f t="shared" si="14"/>
        <v>37.07275858278483</v>
      </c>
      <c r="J19" s="23">
        <f t="shared" si="15"/>
        <v>0.1283226810727558</v>
      </c>
      <c r="K19" s="44">
        <f t="shared" si="16"/>
        <v>0.445809323356879</v>
      </c>
      <c r="L19" s="46">
        <f t="shared" si="17"/>
        <v>0.08</v>
      </c>
      <c r="M19" s="9">
        <f t="shared" si="2"/>
        <v>6.513532725186364</v>
      </c>
      <c r="N19" s="23">
        <f t="shared" si="3"/>
        <v>0.5978028035301228</v>
      </c>
      <c r="O19" s="9">
        <f t="shared" si="4"/>
        <v>6.540907945689358</v>
      </c>
      <c r="P19" s="9">
        <f t="shared" si="18"/>
        <v>5.860734109974974</v>
      </c>
      <c r="Q19" s="9">
        <f t="shared" si="5"/>
        <v>71.70848666054592</v>
      </c>
      <c r="R19" s="23">
        <f t="shared" si="6"/>
        <v>9.65699790442793</v>
      </c>
      <c r="S19" s="9">
        <f t="shared" si="0"/>
        <v>73.19343476559662</v>
      </c>
      <c r="T19" s="23">
        <f t="shared" si="7"/>
        <v>0.14199023519055864</v>
      </c>
      <c r="U19" s="44">
        <f t="shared" si="8"/>
        <v>0.7397930387206815</v>
      </c>
      <c r="V19" s="36"/>
    </row>
    <row r="20" spans="1:22" ht="13.5" customHeight="1">
      <c r="A20" s="37"/>
      <c r="B20" s="46">
        <f t="shared" si="19"/>
        <v>0.072</v>
      </c>
      <c r="C20" s="9">
        <f t="shared" si="9"/>
        <v>4.553417198253544</v>
      </c>
      <c r="D20" s="23">
        <f t="shared" si="10"/>
        <v>0.38110694465720557</v>
      </c>
      <c r="E20" s="9">
        <f t="shared" si="11"/>
        <v>4.569338101368414</v>
      </c>
      <c r="F20" s="9">
        <f t="shared" si="12"/>
        <v>5.718410813150356</v>
      </c>
      <c r="G20" s="9">
        <f t="shared" si="13"/>
        <v>52.53917900192032</v>
      </c>
      <c r="H20" s="23">
        <f t="shared" si="1"/>
        <v>6.5469945787335595</v>
      </c>
      <c r="I20" s="9">
        <f t="shared" si="14"/>
        <v>36.945096163318176</v>
      </c>
      <c r="J20" s="23">
        <f t="shared" si="15"/>
        <v>0.13606038799983883</v>
      </c>
      <c r="K20" s="44">
        <f t="shared" si="16"/>
        <v>0.5171673326570444</v>
      </c>
      <c r="L20" s="46">
        <f t="shared" si="17"/>
        <v>0.096</v>
      </c>
      <c r="M20" s="9">
        <f t="shared" si="2"/>
        <v>7.654871421112</v>
      </c>
      <c r="N20" s="23">
        <f t="shared" si="3"/>
        <v>0.7137025259837181</v>
      </c>
      <c r="O20" s="9">
        <f t="shared" si="4"/>
        <v>7.688070484156138</v>
      </c>
      <c r="P20" s="9">
        <f t="shared" si="18"/>
        <v>5.735949375565454</v>
      </c>
      <c r="Q20" s="9">
        <f t="shared" si="5"/>
        <v>71.53811740776226</v>
      </c>
      <c r="R20" s="23">
        <f t="shared" si="6"/>
        <v>9.611165084741378</v>
      </c>
      <c r="S20" s="9">
        <f t="shared" si="0"/>
        <v>72.8460533608318</v>
      </c>
      <c r="T20" s="23">
        <f t="shared" si="7"/>
        <v>0.1557213072217133</v>
      </c>
      <c r="U20" s="44">
        <f t="shared" si="8"/>
        <v>0.8694238332054314</v>
      </c>
      <c r="V20" s="36"/>
    </row>
    <row r="21" spans="1:22" ht="13.5" customHeight="1">
      <c r="A21" s="37"/>
      <c r="B21" s="46">
        <f t="shared" si="19"/>
        <v>0.08399999999999999</v>
      </c>
      <c r="C21" s="9">
        <f t="shared" si="9"/>
        <v>5.180749877307918</v>
      </c>
      <c r="D21" s="23">
        <f t="shared" si="10"/>
        <v>0.4432203455946648</v>
      </c>
      <c r="E21" s="9">
        <f t="shared" si="11"/>
        <v>5.199674371148165</v>
      </c>
      <c r="F21" s="9">
        <f t="shared" si="12"/>
        <v>5.5906436547856195</v>
      </c>
      <c r="G21" s="9">
        <f t="shared" si="13"/>
        <v>52.449016108965765</v>
      </c>
      <c r="H21" s="23">
        <f t="shared" si="1"/>
        <v>6.524543163358176</v>
      </c>
      <c r="I21" s="9">
        <f t="shared" si="14"/>
        <v>36.81840143490943</v>
      </c>
      <c r="J21" s="23">
        <f t="shared" si="15"/>
        <v>0.145198083588212</v>
      </c>
      <c r="K21" s="44">
        <f t="shared" si="16"/>
        <v>0.5884184291828768</v>
      </c>
      <c r="L21" s="46">
        <f t="shared" si="17"/>
        <v>0.112</v>
      </c>
      <c r="M21" s="9">
        <f t="shared" si="2"/>
        <v>8.793750303694814</v>
      </c>
      <c r="N21" s="23">
        <f t="shared" si="3"/>
        <v>0.8268438075783983</v>
      </c>
      <c r="O21" s="9">
        <f t="shared" si="4"/>
        <v>8.832537296035799</v>
      </c>
      <c r="P21" s="9">
        <f t="shared" si="18"/>
        <v>5.610840327340109</v>
      </c>
      <c r="Q21" s="9">
        <f t="shared" si="5"/>
        <v>71.36882205452132</v>
      </c>
      <c r="R21" s="23">
        <f t="shared" si="6"/>
        <v>9.565729159221227</v>
      </c>
      <c r="S21" s="9">
        <f t="shared" si="0"/>
        <v>72.5016801422098</v>
      </c>
      <c r="T21" s="23">
        <f t="shared" si="7"/>
        <v>0.1719314398024563</v>
      </c>
      <c r="U21" s="44">
        <f t="shared" si="8"/>
        <v>0.9987752473808545</v>
      </c>
      <c r="V21" s="36"/>
    </row>
    <row r="22" spans="1:22" ht="13.5" customHeight="1">
      <c r="A22" s="37"/>
      <c r="B22" s="46">
        <f t="shared" si="19"/>
        <v>0.09599999999999999</v>
      </c>
      <c r="C22" s="9">
        <f t="shared" si="9"/>
        <v>5.807144273583136</v>
      </c>
      <c r="D22" s="23">
        <f t="shared" si="10"/>
        <v>0.5038292617925054</v>
      </c>
      <c r="E22" s="9">
        <f t="shared" si="11"/>
        <v>5.828959473117632</v>
      </c>
      <c r="F22" s="9">
        <f t="shared" si="12"/>
        <v>5.462629185109599</v>
      </c>
      <c r="G22" s="9">
        <f t="shared" si="13"/>
        <v>52.35938414788788</v>
      </c>
      <c r="H22" s="23">
        <f t="shared" si="1"/>
        <v>6.502262177245548</v>
      </c>
      <c r="I22" s="9">
        <f t="shared" si="14"/>
        <v>36.69266844939292</v>
      </c>
      <c r="J22" s="23">
        <f t="shared" si="15"/>
        <v>0.15573369577604712</v>
      </c>
      <c r="K22" s="44">
        <f t="shared" si="16"/>
        <v>0.6595629575685525</v>
      </c>
      <c r="L22" s="46">
        <f t="shared" si="17"/>
        <v>0.128</v>
      </c>
      <c r="M22" s="9">
        <f t="shared" si="2"/>
        <v>9.930180516269429</v>
      </c>
      <c r="N22" s="23">
        <f t="shared" si="3"/>
        <v>0.9372331672299568</v>
      </c>
      <c r="O22" s="9">
        <f t="shared" si="4"/>
        <v>9.974311559975098</v>
      </c>
      <c r="P22" s="9">
        <f t="shared" si="18"/>
        <v>5.4854078342630554</v>
      </c>
      <c r="Q22" s="9">
        <f t="shared" si="5"/>
        <v>71.20059520741094</v>
      </c>
      <c r="R22" s="23">
        <f t="shared" si="6"/>
        <v>9.520686636874277</v>
      </c>
      <c r="S22" s="9">
        <f t="shared" si="0"/>
        <v>72.16028865039145</v>
      </c>
      <c r="T22" s="23">
        <f t="shared" si="7"/>
        <v>0.19061537965297548</v>
      </c>
      <c r="U22" s="44">
        <f t="shared" si="8"/>
        <v>1.1278485468829322</v>
      </c>
      <c r="V22" s="36"/>
    </row>
    <row r="23" spans="1:22" ht="13.5" customHeight="1">
      <c r="A23" s="37"/>
      <c r="B23" s="46">
        <f t="shared" si="19"/>
        <v>0.10799999999999998</v>
      </c>
      <c r="C23" s="9">
        <f t="shared" si="9"/>
        <v>6.43260340253613</v>
      </c>
      <c r="D23" s="23">
        <f t="shared" si="10"/>
        <v>0.5629360976296511</v>
      </c>
      <c r="E23" s="9">
        <f t="shared" si="11"/>
        <v>6.457188520117242</v>
      </c>
      <c r="F23" s="9">
        <f t="shared" si="12"/>
        <v>5.334368441637897</v>
      </c>
      <c r="G23" s="9">
        <f t="shared" si="13"/>
        <v>52.270281634835285</v>
      </c>
      <c r="H23" s="23">
        <f t="shared" si="1"/>
        <v>6.480150575260186</v>
      </c>
      <c r="I23" s="9">
        <f t="shared" si="14"/>
        <v>36.567891309004295</v>
      </c>
      <c r="J23" s="23">
        <f t="shared" si="15"/>
        <v>0.16766516267353415</v>
      </c>
      <c r="K23" s="44">
        <f t="shared" si="16"/>
        <v>0.7306012603031853</v>
      </c>
      <c r="L23" s="46">
        <f t="shared" si="17"/>
        <v>0.14400000000000002</v>
      </c>
      <c r="M23" s="9">
        <f t="shared" si="2"/>
        <v>11.064173116394372</v>
      </c>
      <c r="N23" s="23">
        <f t="shared" si="3"/>
        <v>1.044877078053839</v>
      </c>
      <c r="O23" s="9">
        <f t="shared" si="4"/>
        <v>11.113401588073126</v>
      </c>
      <c r="P23" s="9">
        <f t="shared" si="18"/>
        <v>5.359652781577694</v>
      </c>
      <c r="Q23" s="9">
        <f t="shared" si="5"/>
        <v>71.0334315254192</v>
      </c>
      <c r="R23" s="23">
        <f t="shared" si="6"/>
        <v>9.476034067227962</v>
      </c>
      <c r="S23" s="9">
        <f t="shared" si="0"/>
        <v>71.82185273315622</v>
      </c>
      <c r="T23" s="23">
        <f t="shared" si="7"/>
        <v>0.21176790955154234</v>
      </c>
      <c r="U23" s="44">
        <f t="shared" si="8"/>
        <v>1.2566449876053813</v>
      </c>
      <c r="V23" s="36"/>
    </row>
    <row r="24" spans="1:22" ht="13.5" customHeight="1">
      <c r="A24" s="37"/>
      <c r="B24" s="46">
        <f t="shared" si="19"/>
        <v>0.11999999999999998</v>
      </c>
      <c r="C24" s="9">
        <f t="shared" si="9"/>
        <v>7.057130260858273</v>
      </c>
      <c r="D24" s="23">
        <f t="shared" si="10"/>
        <v>0.6205432452757621</v>
      </c>
      <c r="E24" s="9">
        <f t="shared" si="11"/>
        <v>7.084360340777347</v>
      </c>
      <c r="F24" s="9">
        <f t="shared" si="12"/>
        <v>5.205862475139186</v>
      </c>
      <c r="G24" s="9">
        <f t="shared" si="13"/>
        <v>52.18170709537508</v>
      </c>
      <c r="H24" s="23">
        <f t="shared" si="1"/>
        <v>6.45820732110317</v>
      </c>
      <c r="I24" s="9">
        <f t="shared" si="14"/>
        <v>36.444064165844516</v>
      </c>
      <c r="J24" s="23">
        <f t="shared" si="15"/>
        <v>0.180990432468774</v>
      </c>
      <c r="K24" s="44">
        <f t="shared" si="16"/>
        <v>0.8015336777445361</v>
      </c>
      <c r="L24" s="46">
        <f t="shared" si="17"/>
        <v>0.16000000000000003</v>
      </c>
      <c r="M24" s="9">
        <f t="shared" si="2"/>
        <v>12.195739076626525</v>
      </c>
      <c r="N24" s="23">
        <f t="shared" si="3"/>
        <v>1.1497819678462367</v>
      </c>
      <c r="O24" s="9">
        <f t="shared" si="4"/>
        <v>12.24981837411231</v>
      </c>
      <c r="P24" s="9">
        <f t="shared" si="18"/>
        <v>5.2335760708736805</v>
      </c>
      <c r="Q24" s="9">
        <f t="shared" si="5"/>
        <v>70.86732571921532</v>
      </c>
      <c r="R24" s="23">
        <f t="shared" si="6"/>
        <v>9.43176803975957</v>
      </c>
      <c r="S24" s="9">
        <f t="shared" si="0"/>
        <v>71.48634654107613</v>
      </c>
      <c r="T24" s="23">
        <f t="shared" si="7"/>
        <v>0.23538384794137812</v>
      </c>
      <c r="U24" s="44">
        <f t="shared" si="8"/>
        <v>1.3851658157876148</v>
      </c>
      <c r="V24" s="36"/>
    </row>
    <row r="25" spans="1:22" ht="13.5" customHeight="1">
      <c r="A25" s="37"/>
      <c r="B25" s="46">
        <f t="shared" si="19"/>
        <v>0.13199999999999998</v>
      </c>
      <c r="C25" s="9">
        <f t="shared" si="9"/>
        <v>7.680727826595114</v>
      </c>
      <c r="D25" s="23">
        <f t="shared" si="10"/>
        <v>0.6766530847982777</v>
      </c>
      <c r="E25" s="9">
        <f t="shared" si="11"/>
        <v>7.710475947916544</v>
      </c>
      <c r="F25" s="9">
        <f t="shared" si="12"/>
        <v>5.077112349644192</v>
      </c>
      <c r="G25" s="9">
        <f t="shared" si="13"/>
        <v>52.093659064343036</v>
      </c>
      <c r="H25" s="23">
        <f t="shared" si="1"/>
        <v>6.436431387218237</v>
      </c>
      <c r="I25" s="9">
        <f t="shared" si="14"/>
        <v>36.321181221349924</v>
      </c>
      <c r="J25" s="23">
        <f t="shared" si="15"/>
        <v>0.1957074633343363</v>
      </c>
      <c r="K25" s="44">
        <f t="shared" si="16"/>
        <v>0.872360548132614</v>
      </c>
      <c r="L25" s="46">
        <f t="shared" si="17"/>
        <v>0.17600000000000005</v>
      </c>
      <c r="M25" s="9">
        <f t="shared" si="2"/>
        <v>13.324889285286694</v>
      </c>
      <c r="N25" s="23">
        <f t="shared" si="3"/>
        <v>1.251954219560033</v>
      </c>
      <c r="O25" s="9">
        <f t="shared" si="4"/>
        <v>13.383574404209899</v>
      </c>
      <c r="P25" s="9">
        <f t="shared" si="18"/>
        <v>5.107178620152266</v>
      </c>
      <c r="Q25" s="9">
        <f t="shared" si="5"/>
        <v>70.70227255043932</v>
      </c>
      <c r="R25" s="23">
        <f t="shared" si="6"/>
        <v>9.387885183334657</v>
      </c>
      <c r="S25" s="9">
        <f t="shared" si="0"/>
        <v>71.15374452325938</v>
      </c>
      <c r="T25" s="23">
        <f t="shared" si="7"/>
        <v>0.26145804854165955</v>
      </c>
      <c r="U25" s="44">
        <f t="shared" si="8"/>
        <v>1.5134122681016926</v>
      </c>
      <c r="V25" s="36"/>
    </row>
    <row r="26" spans="1:22" ht="13.5" customHeight="1">
      <c r="A26" s="37"/>
      <c r="B26" s="46">
        <f t="shared" si="19"/>
        <v>0.144</v>
      </c>
      <c r="C26" s="9">
        <f t="shared" si="9"/>
        <v>8.30339905926516</v>
      </c>
      <c r="D26" s="23">
        <f t="shared" si="10"/>
        <v>0.7312679842686918</v>
      </c>
      <c r="E26" s="9">
        <f t="shared" si="11"/>
        <v>8.335537703245182</v>
      </c>
      <c r="F26" s="9">
        <f t="shared" si="12"/>
        <v>4.9481191424530495</v>
      </c>
      <c r="G26" s="9">
        <f t="shared" si="13"/>
        <v>52.00613608569498</v>
      </c>
      <c r="H26" s="23">
        <f t="shared" si="1"/>
        <v>6.414821754699017</v>
      </c>
      <c r="I26" s="9">
        <f t="shared" si="14"/>
        <v>36.19923672576873</v>
      </c>
      <c r="J26" s="23">
        <f t="shared" si="15"/>
        <v>0.21181422333447408</v>
      </c>
      <c r="K26" s="44">
        <f t="shared" si="16"/>
        <v>0.9430822076031659</v>
      </c>
      <c r="L26" s="46">
        <f t="shared" si="17"/>
        <v>0.19200000000000006</v>
      </c>
      <c r="M26" s="9">
        <f t="shared" si="2"/>
        <v>14.451634547216399</v>
      </c>
      <c r="N26" s="23">
        <f t="shared" si="3"/>
        <v>1.3514001717756727</v>
      </c>
      <c r="O26" s="9">
        <f t="shared" si="4"/>
        <v>14.514683031694968</v>
      </c>
      <c r="P26" s="9">
        <f t="shared" si="18"/>
        <v>4.980461363889936</v>
      </c>
      <c r="Q26" s="9">
        <f t="shared" si="5"/>
        <v>70.53826683100063</v>
      </c>
      <c r="R26" s="23">
        <f t="shared" si="6"/>
        <v>9.344382165654578</v>
      </c>
      <c r="S26" s="9">
        <f t="shared" si="0"/>
        <v>70.82402142316288</v>
      </c>
      <c r="T26" s="23">
        <f t="shared" si="7"/>
        <v>0.28998539996260453</v>
      </c>
      <c r="U26" s="44">
        <f t="shared" si="8"/>
        <v>1.6413855717382773</v>
      </c>
      <c r="V26" s="36"/>
    </row>
    <row r="27" spans="1:22" ht="13.5" customHeight="1">
      <c r="A27" s="37"/>
      <c r="B27" s="46">
        <f t="shared" si="19"/>
        <v>0.156</v>
      </c>
      <c r="C27" s="9">
        <f t="shared" si="9"/>
        <v>8.925146899977696</v>
      </c>
      <c r="D27" s="23">
        <f t="shared" si="10"/>
        <v>0.7843902998680675</v>
      </c>
      <c r="E27" s="9">
        <f t="shared" si="11"/>
        <v>8.95954883510931</v>
      </c>
      <c r="F27" s="9">
        <f t="shared" si="12"/>
        <v>4.818883944141025</v>
      </c>
      <c r="G27" s="9">
        <f t="shared" si="13"/>
        <v>51.919136712359254</v>
      </c>
      <c r="H27" s="23">
        <f t="shared" si="1"/>
        <v>6.3933774131973236</v>
      </c>
      <c r="I27" s="9">
        <f t="shared" si="14"/>
        <v>36.078224977643465</v>
      </c>
      <c r="J27" s="23">
        <f t="shared" si="15"/>
        <v>0.22930869033299162</v>
      </c>
      <c r="K27" s="44">
        <f t="shared" si="16"/>
        <v>1.0136989902010591</v>
      </c>
      <c r="L27" s="46">
        <f t="shared" si="17"/>
        <v>0.20800000000000007</v>
      </c>
      <c r="M27" s="9">
        <f t="shared" si="2"/>
        <v>15.575985584526025</v>
      </c>
      <c r="N27" s="23">
        <f t="shared" si="3"/>
        <v>1.448126119167026</v>
      </c>
      <c r="O27" s="9">
        <f t="shared" si="4"/>
        <v>15.643158127001604</v>
      </c>
      <c r="P27" s="9">
        <f t="shared" si="18"/>
        <v>4.853425253100351</v>
      </c>
      <c r="Q27" s="9">
        <f t="shared" si="5"/>
        <v>70.37530342238503</v>
      </c>
      <c r="R27" s="23">
        <f t="shared" si="6"/>
        <v>9.301255692712852</v>
      </c>
      <c r="S27" s="9">
        <f t="shared" si="0"/>
        <v>70.49715227447194</v>
      </c>
      <c r="T27" s="23">
        <f t="shared" si="7"/>
        <v>0.3209608253245815</v>
      </c>
      <c r="U27" s="44">
        <f t="shared" si="8"/>
        <v>1.7690869444916075</v>
      </c>
      <c r="V27" s="36"/>
    </row>
    <row r="28" spans="1:22" ht="13.5" customHeight="1">
      <c r="A28" s="37"/>
      <c r="B28" s="46">
        <f t="shared" si="19"/>
        <v>0.168</v>
      </c>
      <c r="C28" s="9">
        <f t="shared" si="9"/>
        <v>9.54597427154966</v>
      </c>
      <c r="D28" s="23">
        <f t="shared" si="10"/>
        <v>0.8360223759918001</v>
      </c>
      <c r="E28" s="9">
        <f t="shared" si="11"/>
        <v>9.582513146677496</v>
      </c>
      <c r="F28" s="9">
        <f t="shared" si="12"/>
        <v>4.689407858562579</v>
      </c>
      <c r="G28" s="9">
        <f t="shared" si="13"/>
        <v>51.83265950609024</v>
      </c>
      <c r="H28" s="23">
        <f t="shared" si="1"/>
        <v>6.372097360832526</v>
      </c>
      <c r="I28" s="9">
        <f t="shared" si="14"/>
        <v>35.95814032329968</v>
      </c>
      <c r="J28" s="23">
        <f t="shared" si="15"/>
        <v>0.24818885190175577</v>
      </c>
      <c r="K28" s="44">
        <f t="shared" si="16"/>
        <v>1.0842112278935558</v>
      </c>
      <c r="L28" s="46">
        <f t="shared" si="17"/>
        <v>0.2240000000000001</v>
      </c>
      <c r="M28" s="9">
        <f t="shared" si="2"/>
        <v>16.69795303733447</v>
      </c>
      <c r="N28" s="23">
        <f t="shared" si="3"/>
        <v>1.542138312962317</v>
      </c>
      <c r="O28" s="9">
        <f t="shared" si="4"/>
        <v>16.76901387122492</v>
      </c>
      <c r="P28" s="9">
        <f t="shared" si="18"/>
        <v>4.7260712553945385</v>
      </c>
      <c r="Q28" s="9">
        <f t="shared" si="5"/>
        <v>70.21337723497012</v>
      </c>
      <c r="R28" s="23">
        <f t="shared" si="6"/>
        <v>9.258502508260252</v>
      </c>
      <c r="S28" s="9">
        <f t="shared" si="0"/>
        <v>70.17311239704605</v>
      </c>
      <c r="T28" s="23">
        <f t="shared" si="7"/>
        <v>0.3543792818811877</v>
      </c>
      <c r="U28" s="44">
        <f t="shared" si="8"/>
        <v>1.8965175948435047</v>
      </c>
      <c r="V28" s="36"/>
    </row>
    <row r="29" spans="1:22" ht="13.5" customHeight="1">
      <c r="A29" s="37"/>
      <c r="B29" s="46">
        <f t="shared" si="19"/>
        <v>0.18000000000000002</v>
      </c>
      <c r="C29" s="9">
        <f t="shared" si="9"/>
        <v>10.165884078621591</v>
      </c>
      <c r="D29" s="23">
        <f t="shared" si="10"/>
        <v>0.8861665453536337</v>
      </c>
      <c r="E29" s="9">
        <f t="shared" si="11"/>
        <v>10.204434832271504</v>
      </c>
      <c r="F29" s="9">
        <f t="shared" si="12"/>
        <v>4.55969200285376</v>
      </c>
      <c r="G29" s="9">
        <f t="shared" si="13"/>
        <v>51.746703037323044</v>
      </c>
      <c r="H29" s="23">
        <f t="shared" si="1"/>
        <v>6.350980604102</v>
      </c>
      <c r="I29" s="9">
        <f t="shared" si="14"/>
        <v>35.83897715634047</v>
      </c>
      <c r="J29" s="23">
        <f t="shared" si="15"/>
        <v>0.2684527052298479</v>
      </c>
      <c r="K29" s="44">
        <f t="shared" si="16"/>
        <v>1.1546192505834816</v>
      </c>
      <c r="L29" s="46">
        <f t="shared" si="17"/>
        <v>0.2400000000000001</v>
      </c>
      <c r="M29" s="9">
        <f t="shared" si="2"/>
        <v>17.817547464500386</v>
      </c>
      <c r="N29" s="23">
        <f t="shared" si="3"/>
        <v>1.6334429614001833</v>
      </c>
      <c r="O29" s="9">
        <f t="shared" si="4"/>
        <v>17.892264629103604</v>
      </c>
      <c r="P29" s="9">
        <f t="shared" si="18"/>
        <v>4.5984003550393</v>
      </c>
      <c r="Q29" s="9">
        <f t="shared" si="5"/>
        <v>70.05248322734917</v>
      </c>
      <c r="R29" s="23">
        <f t="shared" si="6"/>
        <v>9.21611939327849</v>
      </c>
      <c r="S29" s="9">
        <f t="shared" si="0"/>
        <v>69.85187739292972</v>
      </c>
      <c r="T29" s="23">
        <f t="shared" si="7"/>
        <v>0.3902357606462423</v>
      </c>
      <c r="U29" s="44">
        <f t="shared" si="8"/>
        <v>2.0236787220464256</v>
      </c>
      <c r="V29" s="36"/>
    </row>
    <row r="30" spans="1:22" ht="13.5" customHeight="1">
      <c r="A30" s="37"/>
      <c r="B30" s="46">
        <f t="shared" si="19"/>
        <v>0.19200000000000003</v>
      </c>
      <c r="C30" s="9">
        <f t="shared" si="9"/>
        <v>10.784879207772654</v>
      </c>
      <c r="D30" s="23">
        <f t="shared" si="10"/>
        <v>0.9348251290889413</v>
      </c>
      <c r="E30" s="9">
        <f t="shared" si="11"/>
        <v>10.825318357823157</v>
      </c>
      <c r="F30" s="9">
        <f t="shared" si="12"/>
        <v>4.4297375074329155</v>
      </c>
      <c r="G30" s="9">
        <f t="shared" si="13"/>
        <v>51.661265885029216</v>
      </c>
      <c r="H30" s="23">
        <f t="shared" si="1"/>
        <v>6.330026157792593</v>
      </c>
      <c r="I30" s="9">
        <f t="shared" si="14"/>
        <v>35.72072991714696</v>
      </c>
      <c r="J30" s="23">
        <f t="shared" si="15"/>
        <v>0.29009825703334857</v>
      </c>
      <c r="K30" s="44">
        <f t="shared" si="16"/>
        <v>1.22492338612229</v>
      </c>
      <c r="L30" s="46">
        <f t="shared" si="17"/>
        <v>0.2560000000000001</v>
      </c>
      <c r="M30" s="9">
        <f t="shared" si="2"/>
        <v>18.934779344345138</v>
      </c>
      <c r="N30" s="23">
        <f t="shared" si="3"/>
        <v>1.7220462301809358</v>
      </c>
      <c r="O30" s="9">
        <f t="shared" si="4"/>
        <v>19.012924868044887</v>
      </c>
      <c r="P30" s="9">
        <f t="shared" si="18"/>
        <v>4.470413553013814</v>
      </c>
      <c r="Q30" s="9">
        <f t="shared" si="5"/>
        <v>69.89261640566296</v>
      </c>
      <c r="R30" s="23">
        <f t="shared" si="6"/>
        <v>9.174103165462272</v>
      </c>
      <c r="S30" s="9">
        <f t="shared" si="0"/>
        <v>69.5334231424268</v>
      </c>
      <c r="T30" s="23">
        <f t="shared" si="7"/>
        <v>0.42852528602464135</v>
      </c>
      <c r="U30" s="44">
        <f t="shared" si="8"/>
        <v>2.150571516205577</v>
      </c>
      <c r="V30" s="36"/>
    </row>
    <row r="31" spans="1:22" ht="13.5" customHeight="1">
      <c r="A31" s="37"/>
      <c r="B31" s="46">
        <f t="shared" si="19"/>
        <v>0.20400000000000004</v>
      </c>
      <c r="C31" s="9">
        <f t="shared" si="9"/>
        <v>11.402962527634747</v>
      </c>
      <c r="D31" s="23">
        <f t="shared" si="10"/>
        <v>0.9820004368572729</v>
      </c>
      <c r="E31" s="9">
        <f t="shared" si="11"/>
        <v>11.445168380789777</v>
      </c>
      <c r="F31" s="9">
        <f t="shared" si="12"/>
        <v>4.299545515999697</v>
      </c>
      <c r="G31" s="9">
        <f t="shared" si="13"/>
        <v>51.57634663657356</v>
      </c>
      <c r="H31" s="23">
        <f t="shared" si="1"/>
        <v>6.309233044893147</v>
      </c>
      <c r="I31" s="9">
        <f t="shared" si="14"/>
        <v>35.60339309238463</v>
      </c>
      <c r="J31" s="23">
        <f t="shared" si="15"/>
        <v>0.31312352346574956</v>
      </c>
      <c r="K31" s="44">
        <f t="shared" si="16"/>
        <v>1.2951239603230225</v>
      </c>
      <c r="L31" s="46">
        <f t="shared" si="17"/>
        <v>0.27200000000000013</v>
      </c>
      <c r="M31" s="9">
        <f t="shared" si="2"/>
        <v>20.049659075367618</v>
      </c>
      <c r="N31" s="23">
        <f t="shared" si="3"/>
        <v>1.8079542429130837</v>
      </c>
      <c r="O31" s="9">
        <f t="shared" si="4"/>
        <v>20.131009104934073</v>
      </c>
      <c r="P31" s="9">
        <f t="shared" si="18"/>
        <v>4.342111867064393</v>
      </c>
      <c r="Q31" s="9">
        <f t="shared" si="5"/>
        <v>69.73377182293993</v>
      </c>
      <c r="R31" s="23">
        <f t="shared" si="6"/>
        <v>9.132450678709622</v>
      </c>
      <c r="S31" s="9">
        <f t="shared" si="0"/>
        <v>69.21772580023757</v>
      </c>
      <c r="T31" s="23">
        <f t="shared" si="7"/>
        <v>0.46924291544701524</v>
      </c>
      <c r="U31" s="44">
        <f t="shared" si="8"/>
        <v>2.277197158360099</v>
      </c>
      <c r="V31" s="36"/>
    </row>
    <row r="32" spans="1:22" ht="13.5" customHeight="1">
      <c r="A32" s="37"/>
      <c r="B32" s="46">
        <f t="shared" si="19"/>
        <v>0.21600000000000005</v>
      </c>
      <c r="C32" s="9">
        <f t="shared" si="9"/>
        <v>12.020136889005709</v>
      </c>
      <c r="D32" s="23">
        <f t="shared" si="10"/>
        <v>1.0276947669441805</v>
      </c>
      <c r="E32" s="9">
        <f t="shared" si="11"/>
        <v>12.063989695139842</v>
      </c>
      <c r="F32" s="9">
        <f t="shared" si="12"/>
        <v>4.169117185532341</v>
      </c>
      <c r="G32" s="9">
        <f t="shared" si="13"/>
        <v>51.49194388757202</v>
      </c>
      <c r="H32" s="23">
        <f t="shared" si="1"/>
        <v>6.288600296508009</v>
      </c>
      <c r="I32" s="9">
        <f t="shared" si="14"/>
        <v>35.486961214515276</v>
      </c>
      <c r="J32" s="23">
        <f t="shared" si="15"/>
        <v>0.33752653002898625</v>
      </c>
      <c r="K32" s="44">
        <f t="shared" si="16"/>
        <v>1.3652212969731667</v>
      </c>
      <c r="L32" s="46">
        <f t="shared" si="17"/>
        <v>0.28800000000000014</v>
      </c>
      <c r="M32" s="9">
        <f t="shared" si="2"/>
        <v>21.16219697695101</v>
      </c>
      <c r="N32" s="23">
        <f t="shared" si="3"/>
        <v>1.8911730815551877</v>
      </c>
      <c r="O32" s="9">
        <f t="shared" si="4"/>
        <v>21.246531870299993</v>
      </c>
      <c r="P32" s="9">
        <f t="shared" si="18"/>
        <v>4.213496331757357</v>
      </c>
      <c r="Q32" s="9">
        <f t="shared" si="5"/>
        <v>69.57594457844405</v>
      </c>
      <c r="R32" s="23">
        <f t="shared" si="6"/>
        <v>9.091158822620313</v>
      </c>
      <c r="S32" s="9">
        <f t="shared" si="0"/>
        <v>68.90476179165708</v>
      </c>
      <c r="T32" s="23">
        <f t="shared" si="7"/>
        <v>0.5123837390081527</v>
      </c>
      <c r="U32" s="44">
        <f t="shared" si="8"/>
        <v>2.4035568205633404</v>
      </c>
      <c r="V32" s="36"/>
    </row>
    <row r="33" spans="1:22" ht="13.5" customHeight="1">
      <c r="A33" s="37"/>
      <c r="B33" s="46">
        <f t="shared" si="19"/>
        <v>0.22800000000000006</v>
      </c>
      <c r="C33" s="9">
        <f t="shared" si="9"/>
        <v>12.636405124961643</v>
      </c>
      <c r="D33" s="23">
        <f t="shared" si="10"/>
        <v>1.0719104063623262</v>
      </c>
      <c r="E33" s="9">
        <f t="shared" si="11"/>
        <v>12.681787192719515</v>
      </c>
      <c r="F33" s="9">
        <f t="shared" si="12"/>
        <v>4.0384536862832245</v>
      </c>
      <c r="G33" s="9">
        <f t="shared" si="13"/>
        <v>51.40805624175063</v>
      </c>
      <c r="H33" s="23">
        <f t="shared" si="1"/>
        <v>6.2681269517715865</v>
      </c>
      <c r="I33" s="9">
        <f t="shared" si="14"/>
        <v>35.37142886131479</v>
      </c>
      <c r="J33" s="23">
        <f t="shared" si="15"/>
        <v>0.36330531148508727</v>
      </c>
      <c r="K33" s="44">
        <f t="shared" si="16"/>
        <v>1.4352157178474134</v>
      </c>
      <c r="L33" s="46">
        <f t="shared" si="17"/>
        <v>0.30400000000000016</v>
      </c>
      <c r="M33" s="9">
        <f t="shared" si="2"/>
        <v>22.272403290061604</v>
      </c>
      <c r="N33" s="23">
        <f t="shared" si="3"/>
        <v>1.9717087868531102</v>
      </c>
      <c r="O33" s="9">
        <f t="shared" si="4"/>
        <v>22.359507683652176</v>
      </c>
      <c r="P33" s="9">
        <f t="shared" si="18"/>
        <v>4.08456799853001</v>
      </c>
      <c r="Q33" s="9">
        <f t="shared" si="5"/>
        <v>69.41912981703058</v>
      </c>
      <c r="R33" s="23">
        <f t="shared" si="6"/>
        <v>9.050224522002216</v>
      </c>
      <c r="S33" s="9">
        <f t="shared" si="0"/>
        <v>68.59450780883367</v>
      </c>
      <c r="T33" s="23">
        <f t="shared" si="7"/>
        <v>0.5579428791091181</v>
      </c>
      <c r="U33" s="44">
        <f t="shared" si="8"/>
        <v>2.5296516659622283</v>
      </c>
      <c r="V33" s="36"/>
    </row>
    <row r="34" spans="1:22" ht="13.5" customHeight="1">
      <c r="A34" s="37"/>
      <c r="B34" s="46">
        <f t="shared" si="19"/>
        <v>0.24000000000000007</v>
      </c>
      <c r="C34" s="9">
        <f t="shared" si="9"/>
        <v>13.251770050968346</v>
      </c>
      <c r="D34" s="23">
        <f t="shared" si="10"/>
        <v>1.11464963095188</v>
      </c>
      <c r="E34" s="9">
        <f t="shared" si="11"/>
        <v>13.298565835590047</v>
      </c>
      <c r="F34" s="9">
        <f t="shared" si="12"/>
        <v>3.9075562017726697</v>
      </c>
      <c r="G34" s="9">
        <f t="shared" si="13"/>
        <v>51.32468231080554</v>
      </c>
      <c r="H34" s="23">
        <f t="shared" si="1"/>
        <v>6.24781205776385</v>
      </c>
      <c r="I34" s="9">
        <f t="shared" si="14"/>
        <v>35.256790655396394</v>
      </c>
      <c r="J34" s="23">
        <f t="shared" si="15"/>
        <v>0.39045791176843303</v>
      </c>
      <c r="K34" s="44">
        <f t="shared" si="16"/>
        <v>1.505107542720313</v>
      </c>
      <c r="L34" s="46">
        <f t="shared" si="17"/>
        <v>0.3200000000000002</v>
      </c>
      <c r="M34" s="9">
        <f t="shared" si="2"/>
        <v>23.380288177939835</v>
      </c>
      <c r="N34" s="23">
        <f t="shared" si="3"/>
        <v>2.0495673587727197</v>
      </c>
      <c r="O34" s="9">
        <f t="shared" si="4"/>
        <v>23.469951036200733</v>
      </c>
      <c r="P34" s="9">
        <f t="shared" si="18"/>
        <v>3.955327935739661</v>
      </c>
      <c r="Q34" s="9">
        <f t="shared" si="5"/>
        <v>69.26332272850956</v>
      </c>
      <c r="R34" s="23">
        <f t="shared" si="6"/>
        <v>9.009644736385502</v>
      </c>
      <c r="S34" s="9">
        <f t="shared" si="0"/>
        <v>68.28694080708698</v>
      </c>
      <c r="T34" s="23">
        <f t="shared" si="7"/>
        <v>0.6059154901030337</v>
      </c>
      <c r="U34" s="44">
        <f t="shared" si="8"/>
        <v>2.6554828488757534</v>
      </c>
      <c r="V34" s="36"/>
    </row>
    <row r="35" spans="1:22" ht="13.5" customHeight="1">
      <c r="A35" s="37"/>
      <c r="B35" s="46">
        <f t="shared" si="19"/>
        <v>0.25200000000000006</v>
      </c>
      <c r="C35" s="9">
        <f t="shared" si="9"/>
        <v>13.86623446499188</v>
      </c>
      <c r="D35" s="23">
        <f t="shared" si="10"/>
        <v>1.1559147054802155</v>
      </c>
      <c r="E35" s="9">
        <f t="shared" si="11"/>
        <v>13.91433063587588</v>
      </c>
      <c r="F35" s="9">
        <f t="shared" si="12"/>
        <v>3.776425928780986</v>
      </c>
      <c r="G35" s="9">
        <f t="shared" si="13"/>
        <v>51.241820714264115</v>
      </c>
      <c r="H35" s="23">
        <f t="shared" si="1"/>
        <v>6.227654669426838</v>
      </c>
      <c r="I35" s="9">
        <f t="shared" si="14"/>
        <v>35.14304126373945</v>
      </c>
      <c r="J35" s="23">
        <f t="shared" si="15"/>
        <v>0.41898238389861797</v>
      </c>
      <c r="K35" s="44">
        <f t="shared" si="16"/>
        <v>1.5748970893788334</v>
      </c>
      <c r="L35" s="46">
        <f t="shared" si="17"/>
        <v>0.3360000000000002</v>
      </c>
      <c r="M35" s="9">
        <f t="shared" si="2"/>
        <v>24.48586172678356</v>
      </c>
      <c r="N35" s="23">
        <f t="shared" si="3"/>
        <v>2.1247547569281133</v>
      </c>
      <c r="O35" s="9">
        <f t="shared" si="4"/>
        <v>24.577876378569666</v>
      </c>
      <c r="P35" s="9">
        <f t="shared" si="18"/>
        <v>3.825777228710683</v>
      </c>
      <c r="Q35" s="9">
        <f t="shared" si="5"/>
        <v>69.10851854701684</v>
      </c>
      <c r="R35" s="23">
        <f t="shared" si="6"/>
        <v>8.969416459544474</v>
      </c>
      <c r="S35" s="9">
        <f t="shared" si="0"/>
        <v>67.98203800128374</v>
      </c>
      <c r="T35" s="23">
        <f t="shared" si="7"/>
        <v>0.6562967579444638</v>
      </c>
      <c r="U35" s="44">
        <f t="shared" si="8"/>
        <v>2.781051514872577</v>
      </c>
      <c r="V35" s="36"/>
    </row>
    <row r="36" spans="1:22" ht="13.5" customHeight="1">
      <c r="A36" s="37"/>
      <c r="B36" s="46">
        <f t="shared" si="19"/>
        <v>0.26400000000000007</v>
      </c>
      <c r="C36" s="9">
        <f t="shared" si="9"/>
        <v>14.479801147608264</v>
      </c>
      <c r="D36" s="23">
        <f t="shared" si="10"/>
        <v>1.1957078837409072</v>
      </c>
      <c r="E36" s="9">
        <f t="shared" si="11"/>
        <v>14.529086640856601</v>
      </c>
      <c r="F36" s="9">
        <f t="shared" si="12"/>
        <v>3.645064077338732</v>
      </c>
      <c r="G36" s="9">
        <f t="shared" si="13"/>
        <v>51.15947007934703</v>
      </c>
      <c r="H36" s="23">
        <f t="shared" si="1"/>
        <v>6.207653849482118</v>
      </c>
      <c r="I36" s="9">
        <f t="shared" si="14"/>
        <v>35.03017539722367</v>
      </c>
      <c r="J36" s="23">
        <f t="shared" si="15"/>
        <v>0.44887678989391167</v>
      </c>
      <c r="K36" s="44">
        <f t="shared" si="16"/>
        <v>1.6445846736348189</v>
      </c>
      <c r="L36" s="46">
        <f t="shared" si="17"/>
        <v>0.3520000000000002</v>
      </c>
      <c r="M36" s="9">
        <f t="shared" si="2"/>
        <v>25.589133946423775</v>
      </c>
      <c r="N36" s="23">
        <f t="shared" si="3"/>
        <v>2.1972769010054196</v>
      </c>
      <c r="O36" s="9">
        <f t="shared" si="4"/>
        <v>25.68329811195808</v>
      </c>
      <c r="P36" s="9">
        <f t="shared" si="18"/>
        <v>3.6959169797795544</v>
      </c>
      <c r="Q36" s="9">
        <f t="shared" si="5"/>
        <v>68.95471255039261</v>
      </c>
      <c r="R36" s="23">
        <f t="shared" si="6"/>
        <v>8.929536719026968</v>
      </c>
      <c r="S36" s="9">
        <f t="shared" si="0"/>
        <v>67.67977686227091</v>
      </c>
      <c r="T36" s="23">
        <f t="shared" si="7"/>
        <v>0.7090818998423565</v>
      </c>
      <c r="U36" s="44">
        <f t="shared" si="8"/>
        <v>2.906358800847776</v>
      </c>
      <c r="V36" s="36"/>
    </row>
    <row r="37" spans="1:22" ht="13.5" customHeight="1">
      <c r="A37" s="37"/>
      <c r="B37" s="46">
        <f t="shared" si="19"/>
        <v>0.2760000000000001</v>
      </c>
      <c r="C37" s="9">
        <f t="shared" si="9"/>
        <v>15.092472862112333</v>
      </c>
      <c r="D37" s="23">
        <f t="shared" si="10"/>
        <v>1.2340314086520396</v>
      </c>
      <c r="E37" s="9">
        <f t="shared" si="11"/>
        <v>15.142838921785339</v>
      </c>
      <c r="F37" s="9">
        <f t="shared" si="12"/>
        <v>3.5134718707151857</v>
      </c>
      <c r="G37" s="9">
        <f t="shared" si="13"/>
        <v>51.07762904083149</v>
      </c>
      <c r="H37" s="23">
        <f t="shared" si="1"/>
        <v>6.187808668349206</v>
      </c>
      <c r="I37" s="9">
        <f t="shared" si="14"/>
        <v>34.91818781016877</v>
      </c>
      <c r="J37" s="23">
        <f t="shared" si="15"/>
        <v>0.480139200685314</v>
      </c>
      <c r="K37" s="44">
        <f t="shared" si="16"/>
        <v>1.7141706093373537</v>
      </c>
      <c r="L37" s="46">
        <f t="shared" si="17"/>
        <v>0.3680000000000002</v>
      </c>
      <c r="M37" s="9">
        <f t="shared" si="2"/>
        <v>26.69011477099281</v>
      </c>
      <c r="N37" s="23">
        <f t="shared" si="3"/>
        <v>2.26713967118224</v>
      </c>
      <c r="O37" s="9">
        <f t="shared" si="4"/>
        <v>26.786230581726443</v>
      </c>
      <c r="P37" s="9">
        <f t="shared" si="18"/>
        <v>3.565748308337874</v>
      </c>
      <c r="Q37" s="9">
        <f t="shared" si="5"/>
        <v>68.80190005956725</v>
      </c>
      <c r="R37" s="23">
        <f t="shared" si="6"/>
        <v>8.890002575691092</v>
      </c>
      <c r="S37" s="9">
        <f t="shared" si="0"/>
        <v>67.3801351133645</v>
      </c>
      <c r="T37" s="23">
        <f t="shared" si="7"/>
        <v>0.7642661639164965</v>
      </c>
      <c r="U37" s="44">
        <f t="shared" si="8"/>
        <v>3.0314058350987363</v>
      </c>
      <c r="V37" s="36"/>
    </row>
    <row r="38" spans="1:22" ht="13.5" customHeight="1">
      <c r="A38" s="37"/>
      <c r="B38" s="46">
        <f t="shared" si="19"/>
        <v>0.2880000000000001</v>
      </c>
      <c r="C38" s="9">
        <f t="shared" si="9"/>
        <v>15.704252354625746</v>
      </c>
      <c r="D38" s="23">
        <f t="shared" si="10"/>
        <v>1.2708875123538326</v>
      </c>
      <c r="E38" s="9">
        <f t="shared" si="11"/>
        <v>15.755592565398015</v>
      </c>
      <c r="F38" s="9">
        <f t="shared" si="12"/>
        <v>3.3816505454050163</v>
      </c>
      <c r="G38" s="9">
        <f t="shared" si="13"/>
        <v>50.99629624091542</v>
      </c>
      <c r="H38" s="23">
        <f t="shared" si="1"/>
        <v>6.168118204064903</v>
      </c>
      <c r="I38" s="9">
        <f t="shared" si="14"/>
        <v>34.80707329987927</v>
      </c>
      <c r="J38" s="23">
        <f t="shared" si="15"/>
        <v>0.5127676960311978</v>
      </c>
      <c r="K38" s="44">
        <f t="shared" si="16"/>
        <v>1.7836552083850303</v>
      </c>
      <c r="L38" s="46">
        <f t="shared" si="17"/>
        <v>0.38400000000000023</v>
      </c>
      <c r="M38" s="9">
        <f t="shared" si="2"/>
        <v>27.788814059585157</v>
      </c>
      <c r="N38" s="23">
        <f t="shared" si="3"/>
        <v>2.3343489085427844</v>
      </c>
      <c r="O38" s="9">
        <f t="shared" si="4"/>
        <v>27.88668807271693</v>
      </c>
      <c r="P38" s="9">
        <f t="shared" si="18"/>
        <v>3.435272350873298</v>
      </c>
      <c r="Q38" s="9">
        <f t="shared" si="5"/>
        <v>68.65007643795445</v>
      </c>
      <c r="R38" s="23">
        <f t="shared" si="6"/>
        <v>8.850811123249276</v>
      </c>
      <c r="S38" s="9">
        <f t="shared" si="0"/>
        <v>67.08309072689386</v>
      </c>
      <c r="T38" s="23">
        <f t="shared" si="7"/>
        <v>0.8218448288574218</v>
      </c>
      <c r="U38" s="44">
        <f t="shared" si="8"/>
        <v>3.1561937374002063</v>
      </c>
      <c r="V38" s="36"/>
    </row>
    <row r="39" spans="1:22" ht="13.5" customHeight="1">
      <c r="A39" s="37"/>
      <c r="B39" s="46">
        <f t="shared" si="19"/>
        <v>0.3000000000000001</v>
      </c>
      <c r="C39" s="9">
        <f t="shared" si="9"/>
        <v>16.315142354204156</v>
      </c>
      <c r="D39" s="23">
        <f t="shared" si="10"/>
        <v>1.3062784163055878</v>
      </c>
      <c r="E39" s="9">
        <f t="shared" si="11"/>
        <v>16.36735266739408</v>
      </c>
      <c r="F39" s="9">
        <f t="shared" si="12"/>
        <v>3.2496013511131294</v>
      </c>
      <c r="G39" s="9">
        <f t="shared" si="13"/>
        <v>50.91547032908278</v>
      </c>
      <c r="H39" s="23">
        <f t="shared" si="1"/>
        <v>6.148581542203585</v>
      </c>
      <c r="I39" s="9">
        <f t="shared" si="14"/>
        <v>34.69682670619472</v>
      </c>
      <c r="J39" s="23">
        <f t="shared" si="15"/>
        <v>0.5467603644325325</v>
      </c>
      <c r="K39" s="44">
        <f t="shared" si="16"/>
        <v>1.8530387807381203</v>
      </c>
      <c r="L39" s="46">
        <f t="shared" si="17"/>
        <v>0.40000000000000024</v>
      </c>
      <c r="M39" s="9">
        <f t="shared" si="2"/>
        <v>28.885241596910987</v>
      </c>
      <c r="N39" s="23">
        <f t="shared" si="3"/>
        <v>2.3989104154887664</v>
      </c>
      <c r="O39" s="9">
        <f t="shared" si="4"/>
        <v>28.984684805832497</v>
      </c>
      <c r="P39" s="9">
        <f t="shared" si="18"/>
        <v>3.304490261008377</v>
      </c>
      <c r="Q39" s="9">
        <f t="shared" si="5"/>
        <v>68.49923709085152</v>
      </c>
      <c r="R39" s="23">
        <f t="shared" si="6"/>
        <v>8.811959487819408</v>
      </c>
      <c r="S39" s="9">
        <f t="shared" si="0"/>
        <v>66.78862192079949</v>
      </c>
      <c r="T39" s="23">
        <f t="shared" si="7"/>
        <v>0.8818132035897577</v>
      </c>
      <c r="U39" s="44">
        <f t="shared" si="8"/>
        <v>3.280723619078524</v>
      </c>
      <c r="V39" s="36"/>
    </row>
    <row r="40" spans="1:22" ht="13.5" customHeight="1">
      <c r="A40" s="37"/>
      <c r="B40" s="46">
        <f t="shared" si="19"/>
        <v>0.3120000000000001</v>
      </c>
      <c r="C40" s="9">
        <f t="shared" si="9"/>
        <v>16.925145572943567</v>
      </c>
      <c r="D40" s="23">
        <f t="shared" si="10"/>
        <v>1.3402063313819672</v>
      </c>
      <c r="E40" s="9">
        <f t="shared" si="11"/>
        <v>16.978124327381032</v>
      </c>
      <c r="F40" s="9">
        <f t="shared" si="12"/>
        <v>3.1173255507376854</v>
      </c>
      <c r="G40" s="9">
        <f t="shared" si="13"/>
        <v>50.83514996196983</v>
      </c>
      <c r="H40" s="23">
        <f t="shared" si="1"/>
        <v>6.129197775798388</v>
      </c>
      <c r="I40" s="9">
        <f t="shared" si="14"/>
        <v>34.58744291104488</v>
      </c>
      <c r="J40" s="23">
        <f t="shared" si="15"/>
        <v>0.5821153030486881</v>
      </c>
      <c r="K40" s="44">
        <f t="shared" si="16"/>
        <v>1.9223216344306553</v>
      </c>
      <c r="L40" s="46">
        <f t="shared" si="17"/>
        <v>0.41600000000000026</v>
      </c>
      <c r="M40" s="9">
        <f t="shared" si="2"/>
        <v>29.97940709394251</v>
      </c>
      <c r="N40" s="23">
        <f t="shared" si="3"/>
        <v>2.4608299561461053</v>
      </c>
      <c r="O40" s="9">
        <f t="shared" si="4"/>
        <v>30.080234935541917</v>
      </c>
      <c r="P40" s="9">
        <f t="shared" si="18"/>
        <v>3.1734032095372626</v>
      </c>
      <c r="Q40" s="9">
        <f t="shared" si="5"/>
        <v>68.34937746484671</v>
      </c>
      <c r="R40" s="23">
        <f t="shared" si="6"/>
        <v>8.773444827483019</v>
      </c>
      <c r="S40" s="9">
        <f t="shared" si="0"/>
        <v>66.49670715528441</v>
      </c>
      <c r="T40" s="23">
        <f t="shared" si="7"/>
        <v>0.9441666269389231</v>
      </c>
      <c r="U40" s="44">
        <f t="shared" si="8"/>
        <v>3.4049965830850284</v>
      </c>
      <c r="V40" s="36"/>
    </row>
    <row r="41" spans="1:22" ht="13.5" customHeight="1">
      <c r="A41" s="37"/>
      <c r="B41" s="46">
        <f t="shared" si="19"/>
        <v>0.3240000000000001</v>
      </c>
      <c r="C41" s="9">
        <f t="shared" si="9"/>
        <v>17.534264706085864</v>
      </c>
      <c r="D41" s="23">
        <f t="shared" si="10"/>
        <v>1.3726734579686044</v>
      </c>
      <c r="E41" s="9">
        <f t="shared" si="11"/>
        <v>17.587912644918948</v>
      </c>
      <c r="F41" s="9">
        <f t="shared" si="12"/>
        <v>2.984824420351276</v>
      </c>
      <c r="G41" s="9">
        <f t="shared" si="13"/>
        <v>50.75533380323252</v>
      </c>
      <c r="H41" s="23">
        <f t="shared" si="1"/>
        <v>6.109966005263301</v>
      </c>
      <c r="I41" s="9">
        <f t="shared" si="14"/>
        <v>34.47891683801014</v>
      </c>
      <c r="J41" s="23">
        <f t="shared" si="15"/>
        <v>0.6188306176138076</v>
      </c>
      <c r="K41" s="44">
        <f t="shared" si="16"/>
        <v>1.991504075582412</v>
      </c>
      <c r="L41" s="46">
        <f t="shared" si="17"/>
        <v>0.4320000000000003</v>
      </c>
      <c r="M41" s="9">
        <f t="shared" si="2"/>
        <v>31.07132018855322</v>
      </c>
      <c r="N41" s="23">
        <f t="shared" si="3"/>
        <v>2.5201132567674978</v>
      </c>
      <c r="O41" s="9">
        <f t="shared" si="4"/>
        <v>31.173352548074295</v>
      </c>
      <c r="P41" s="9">
        <f t="shared" si="18"/>
        <v>3.0420123844602505</v>
      </c>
      <c r="Q41" s="9">
        <f t="shared" si="5"/>
        <v>68.20049304723345</v>
      </c>
      <c r="R41" s="23">
        <f t="shared" si="6"/>
        <v>8.735264331850301</v>
      </c>
      <c r="S41" s="9">
        <f t="shared" si="0"/>
        <v>66.20732512951737</v>
      </c>
      <c r="T41" s="23">
        <f t="shared" si="7"/>
        <v>1.0089004673011663</v>
      </c>
      <c r="U41" s="44">
        <f t="shared" si="8"/>
        <v>3.529013724068664</v>
      </c>
      <c r="V41" s="36"/>
    </row>
    <row r="42" spans="1:22" ht="13.5" customHeight="1">
      <c r="A42" s="37"/>
      <c r="B42" s="46">
        <f t="shared" si="19"/>
        <v>0.33600000000000013</v>
      </c>
      <c r="C42" s="9">
        <f t="shared" si="9"/>
        <v>18.14250243212355</v>
      </c>
      <c r="D42" s="23">
        <f t="shared" si="10"/>
        <v>1.4036819860570589</v>
      </c>
      <c r="E42" s="9">
        <f t="shared" si="11"/>
        <v>18.19672271640116</v>
      </c>
      <c r="F42" s="9">
        <f t="shared" si="12"/>
        <v>2.852099249180239</v>
      </c>
      <c r="G42" s="9">
        <f t="shared" si="13"/>
        <v>50.67602052341481</v>
      </c>
      <c r="H42" s="23">
        <f t="shared" si="1"/>
        <v>6.09088533831615</v>
      </c>
      <c r="I42" s="9">
        <f t="shared" si="14"/>
        <v>34.371243451886905</v>
      </c>
      <c r="J42" s="23">
        <f t="shared" si="15"/>
        <v>0.6569044223537497</v>
      </c>
      <c r="K42" s="44">
        <f t="shared" si="16"/>
        <v>2.0605864084108085</v>
      </c>
      <c r="L42" s="46">
        <f t="shared" si="17"/>
        <v>0.4480000000000003</v>
      </c>
      <c r="M42" s="9">
        <f t="shared" si="2"/>
        <v>32.16099044615017</v>
      </c>
      <c r="N42" s="23">
        <f t="shared" si="3"/>
        <v>2.576766006130912</v>
      </c>
      <c r="O42" s="9">
        <f t="shared" si="4"/>
        <v>32.26405166013274</v>
      </c>
      <c r="P42" s="9">
        <f t="shared" si="18"/>
        <v>2.9103189910161245</v>
      </c>
      <c r="Q42" s="9">
        <f t="shared" si="5"/>
        <v>68.0525793654315</v>
      </c>
      <c r="R42" s="23">
        <f t="shared" si="6"/>
        <v>8.697415221631898</v>
      </c>
      <c r="S42" s="9">
        <f t="shared" si="0"/>
        <v>65.9204547783872</v>
      </c>
      <c r="T42" s="23">
        <f t="shared" si="7"/>
        <v>1.0760101223168799</v>
      </c>
      <c r="U42" s="44">
        <f t="shared" si="8"/>
        <v>3.6527761284477918</v>
      </c>
      <c r="V42" s="36"/>
    </row>
    <row r="43" spans="1:22" ht="13.5" customHeight="1">
      <c r="A43" s="37"/>
      <c r="B43" s="46">
        <f t="shared" si="19"/>
        <v>0.34800000000000014</v>
      </c>
      <c r="C43" s="9">
        <f t="shared" si="9"/>
        <v>18.74986141290368</v>
      </c>
      <c r="D43" s="23">
        <f t="shared" si="10"/>
        <v>1.433234095339117</v>
      </c>
      <c r="E43" s="9">
        <f t="shared" si="11"/>
        <v>18.8045596325768</v>
      </c>
      <c r="F43" s="9">
        <f t="shared" si="12"/>
        <v>2.7191513395821114</v>
      </c>
      <c r="G43" s="9">
        <f t="shared" si="13"/>
        <v>50.59720879981815</v>
      </c>
      <c r="H43" s="23">
        <f t="shared" si="1"/>
        <v>6.071954889902456</v>
      </c>
      <c r="I43" s="9">
        <f t="shared" si="14"/>
        <v>34.26441775825788</v>
      </c>
      <c r="J43" s="23">
        <f t="shared" si="15"/>
        <v>0.6963348399035916</v>
      </c>
      <c r="K43" s="44">
        <f t="shared" si="16"/>
        <v>2.1295689352427085</v>
      </c>
      <c r="L43" s="46">
        <f t="shared" si="17"/>
        <v>0.4640000000000003</v>
      </c>
      <c r="M43" s="9">
        <f t="shared" si="2"/>
        <v>33.24842736029937</v>
      </c>
      <c r="N43" s="23">
        <f t="shared" si="3"/>
        <v>2.630793855934055</v>
      </c>
      <c r="O43" s="9">
        <f t="shared" si="4"/>
        <v>33.35234621800277</v>
      </c>
      <c r="P43" s="9">
        <f t="shared" si="18"/>
        <v>2.7783242517122817</v>
      </c>
      <c r="Q43" s="9">
        <f t="shared" si="5"/>
        <v>67.90563198641479</v>
      </c>
      <c r="R43" s="23">
        <f t="shared" si="6"/>
        <v>8.659894748217331</v>
      </c>
      <c r="S43" s="9">
        <f t="shared" si="0"/>
        <v>65.63607526930764</v>
      </c>
      <c r="T43" s="23">
        <f t="shared" si="7"/>
        <v>1.1454910185471663</v>
      </c>
      <c r="U43" s="44">
        <f t="shared" si="8"/>
        <v>3.776284874481221</v>
      </c>
      <c r="V43" s="36"/>
    </row>
    <row r="44" spans="1:22" ht="13.5" customHeight="1">
      <c r="A44" s="37"/>
      <c r="B44" s="46">
        <f t="shared" si="19"/>
        <v>0.36000000000000015</v>
      </c>
      <c r="C44" s="9">
        <f t="shared" si="9"/>
        <v>19.356344293731013</v>
      </c>
      <c r="D44" s="23">
        <f t="shared" si="10"/>
        <v>1.461331955300447</v>
      </c>
      <c r="E44" s="9">
        <f t="shared" si="11"/>
        <v>19.4114284765711</v>
      </c>
      <c r="F44" s="9">
        <f t="shared" si="12"/>
        <v>2.5859820070211983</v>
      </c>
      <c r="G44" s="9">
        <f t="shared" si="13"/>
        <v>50.51889731637182</v>
      </c>
      <c r="H44" s="23">
        <f t="shared" si="1"/>
        <v>6.053173782120164</v>
      </c>
      <c r="I44" s="9">
        <f t="shared" si="14"/>
        <v>34.15843480306737</v>
      </c>
      <c r="J44" s="23">
        <f t="shared" si="15"/>
        <v>0.7371200012256909</v>
      </c>
      <c r="K44" s="44">
        <f t="shared" si="16"/>
        <v>2.198451956526138</v>
      </c>
      <c r="L44" s="46">
        <f t="shared" si="17"/>
        <v>0.4800000000000003</v>
      </c>
      <c r="M44" s="9">
        <f t="shared" si="2"/>
        <v>34.33364035334433</v>
      </c>
      <c r="N44" s="23">
        <f t="shared" si="3"/>
        <v>2.682202421184873</v>
      </c>
      <c r="O44" s="9">
        <f t="shared" si="4"/>
        <v>34.438250096963465</v>
      </c>
      <c r="P44" s="9">
        <f t="shared" si="18"/>
        <v>2.6460294063525978</v>
      </c>
      <c r="Q44" s="9">
        <f t="shared" si="5"/>
        <v>67.75964651614598</v>
      </c>
      <c r="R44" s="23">
        <f t="shared" si="6"/>
        <v>8.622700193259934</v>
      </c>
      <c r="S44" s="9">
        <f t="shared" si="0"/>
        <v>65.35416599907147</v>
      </c>
      <c r="T44" s="23">
        <f t="shared" si="7"/>
        <v>1.2173386111535929</v>
      </c>
      <c r="U44" s="44">
        <f t="shared" si="8"/>
        <v>3.899541032338466</v>
      </c>
      <c r="V44" s="36"/>
    </row>
    <row r="45" spans="1:22" ht="13.5" customHeight="1">
      <c r="A45" s="37"/>
      <c r="B45" s="46">
        <f t="shared" si="19"/>
        <v>0.37200000000000016</v>
      </c>
      <c r="C45" s="9">
        <f t="shared" si="9"/>
        <v>19.961953703470375</v>
      </c>
      <c r="D45" s="23">
        <f t="shared" si="10"/>
        <v>1.4879777253136124</v>
      </c>
      <c r="E45" s="9">
        <f t="shared" si="11"/>
        <v>20.017334322294868</v>
      </c>
      <c r="F45" s="9">
        <f t="shared" si="12"/>
        <v>2.4525925800422583</v>
      </c>
      <c r="G45" s="9">
        <f t="shared" si="13"/>
        <v>50.441084763504456</v>
      </c>
      <c r="H45" s="23">
        <f t="shared" si="1"/>
        <v>6.034541144145224</v>
      </c>
      <c r="I45" s="9">
        <f t="shared" si="14"/>
        <v>34.053289672201295</v>
      </c>
      <c r="J45" s="23">
        <f t="shared" si="15"/>
        <v>0.7792580455282974</v>
      </c>
      <c r="K45" s="44">
        <f t="shared" si="16"/>
        <v>2.2672357708419097</v>
      </c>
      <c r="L45" s="46">
        <f t="shared" si="17"/>
        <v>0.49600000000000033</v>
      </c>
      <c r="M45" s="9">
        <f t="shared" si="2"/>
        <v>35.416638777018</v>
      </c>
      <c r="N45" s="23">
        <f t="shared" si="3"/>
        <v>2.730997280588129</v>
      </c>
      <c r="O45" s="9">
        <f t="shared" si="4"/>
        <v>35.521777100932816</v>
      </c>
      <c r="P45" s="9">
        <f t="shared" si="18"/>
        <v>2.5134357120630084</v>
      </c>
      <c r="Q45" s="9">
        <f t="shared" si="5"/>
        <v>67.61461859901752</v>
      </c>
      <c r="R45" s="23">
        <f t="shared" si="6"/>
        <v>8.585828868268194</v>
      </c>
      <c r="S45" s="9">
        <f t="shared" si="0"/>
        <v>65.07470659075301</v>
      </c>
      <c r="T45" s="23">
        <f t="shared" si="7"/>
        <v>1.2915483835811115</v>
      </c>
      <c r="U45" s="44">
        <f t="shared" si="8"/>
        <v>4.0225456641692405</v>
      </c>
      <c r="V45" s="36"/>
    </row>
    <row r="46" spans="1:22" ht="13.5" customHeight="1">
      <c r="A46" s="37"/>
      <c r="B46" s="46">
        <f t="shared" si="19"/>
        <v>0.3840000000000002</v>
      </c>
      <c r="C46" s="9">
        <f t="shared" si="9"/>
        <v>20.566692254648263</v>
      </c>
      <c r="D46" s="23">
        <f t="shared" si="10"/>
        <v>1.513173554730452</v>
      </c>
      <c r="E46" s="9">
        <f t="shared" si="11"/>
        <v>20.622282233160917</v>
      </c>
      <c r="F46" s="9">
        <f t="shared" si="12"/>
        <v>2.3189844002422797</v>
      </c>
      <c r="G46" s="9">
        <f t="shared" si="13"/>
        <v>50.363769838016474</v>
      </c>
      <c r="H46" s="23">
        <f t="shared" si="1"/>
        <v>6.016056112158016</v>
      </c>
      <c r="I46" s="9">
        <f t="shared" si="14"/>
        <v>33.948977491071986</v>
      </c>
      <c r="J46" s="23">
        <f t="shared" si="15"/>
        <v>0.8227471201847125</v>
      </c>
      <c r="K46" s="44">
        <f t="shared" si="16"/>
        <v>2.3359206749151644</v>
      </c>
      <c r="L46" s="46">
        <f t="shared" si="17"/>
        <v>0.5120000000000003</v>
      </c>
      <c r="M46" s="9">
        <f t="shared" si="2"/>
        <v>36.497431913048025</v>
      </c>
      <c r="N46" s="23">
        <f t="shared" si="3"/>
        <v>2.777183976928116</v>
      </c>
      <c r="O46" s="9">
        <f t="shared" si="4"/>
        <v>36.602940962295406</v>
      </c>
      <c r="P46" s="9">
        <f t="shared" si="18"/>
        <v>2.3805444433147747</v>
      </c>
      <c r="Q46" s="9">
        <f t="shared" si="5"/>
        <v>67.4705439172992</v>
      </c>
      <c r="R46" s="23">
        <f t="shared" si="6"/>
        <v>8.549278114203373</v>
      </c>
      <c r="S46" s="9">
        <f aca="true" t="shared" si="20" ref="S46:S77">ymf/1000/2*(Q46^2)</f>
        <v>64.79767689065852</v>
      </c>
      <c r="T46" s="23">
        <f t="shared" si="7"/>
        <v>1.3681158472440949</v>
      </c>
      <c r="U46" s="44">
        <f t="shared" si="8"/>
        <v>4.145299824172211</v>
      </c>
      <c r="V46" s="36"/>
    </row>
    <row r="47" spans="1:22" ht="13.5" customHeight="1">
      <c r="A47" s="37"/>
      <c r="B47" s="46">
        <f t="shared" si="19"/>
        <v>0.3960000000000002</v>
      </c>
      <c r="C47" s="9">
        <f t="shared" si="9"/>
        <v>21.170562543553682</v>
      </c>
      <c r="D47" s="23">
        <f t="shared" si="10"/>
        <v>1.5369215829738283</v>
      </c>
      <c r="E47" s="9">
        <f t="shared" si="11"/>
        <v>21.226277261044363</v>
      </c>
      <c r="F47" s="9">
        <f t="shared" si="12"/>
        <v>2.1851588222403553</v>
      </c>
      <c r="G47" s="9">
        <f t="shared" si="13"/>
        <v>50.286951242953585</v>
      </c>
      <c r="H47" s="23">
        <f aca="true" t="shared" si="21" ref="H47:H78">xda*(G47^2)/(2*G$6)</f>
        <v>5.997717829270612</v>
      </c>
      <c r="I47" s="9">
        <f t="shared" si="14"/>
        <v>33.84549342420779</v>
      </c>
      <c r="J47" s="23">
        <f t="shared" si="15"/>
        <v>0.8675853806529958</v>
      </c>
      <c r="K47" s="44">
        <f t="shared" si="16"/>
        <v>2.404506963626824</v>
      </c>
      <c r="L47" s="46">
        <f t="shared" si="17"/>
        <v>0.5280000000000004</v>
      </c>
      <c r="M47" s="9">
        <f aca="true" t="shared" si="22" ref="M47:M78">M46+Q46*yca*COS(P46/rad)</f>
        <v>37.576028973755484</v>
      </c>
      <c r="N47" s="23">
        <f aca="true" t="shared" si="23" ref="N47:N78">N46+Q46*yca*SIN(P46/rad)-(9.81*(yca^2)/2)</f>
        <v>2.8207680174475502</v>
      </c>
      <c r="O47" s="9">
        <f t="shared" si="4"/>
        <v>37.6817553418729</v>
      </c>
      <c r="P47" s="9">
        <f t="shared" si="18"/>
        <v>2.2473568919454077</v>
      </c>
      <c r="Q47" s="9">
        <f aca="true" t="shared" si="24" ref="Q47:Q78">SQRT(Q46^2-2*9.81*(N47-N46))-(R46*yca)</f>
        <v>67.32741819059214</v>
      </c>
      <c r="R47" s="23">
        <f aca="true" t="shared" si="25" ref="R47:R78">yda*(Q47^2)/(2*Q$6)</f>
        <v>8.513045301083311</v>
      </c>
      <c r="S47" s="9">
        <f t="shared" si="20"/>
        <v>64.5230569653232</v>
      </c>
      <c r="T47" s="23">
        <f aca="true" t="shared" si="26" ref="T47:T78">M47*TAN(yat/rad)-N47</f>
        <v>1.4470365412154411</v>
      </c>
      <c r="U47" s="44">
        <f aca="true" t="shared" si="27" ref="U47:U78">M47*TAN(yat/rad)</f>
        <v>4.267804558662991</v>
      </c>
      <c r="V47" s="36"/>
    </row>
    <row r="48" spans="1:22" ht="13.5" customHeight="1">
      <c r="A48" s="37"/>
      <c r="B48" s="46">
        <f t="shared" si="19"/>
        <v>0.4080000000000002</v>
      </c>
      <c r="C48" s="9">
        <f t="shared" si="9"/>
        <v>21.77356715033824</v>
      </c>
      <c r="D48" s="23">
        <f t="shared" si="10"/>
        <v>1.5592239396287544</v>
      </c>
      <c r="E48" s="9">
        <f t="shared" si="11"/>
        <v>21.82932444543807</v>
      </c>
      <c r="F48" s="9">
        <f t="shared" si="12"/>
        <v>2.0511172136456253</v>
      </c>
      <c r="G48" s="9">
        <f t="shared" si="13"/>
        <v>50.21062768748127</v>
      </c>
      <c r="H48" s="23">
        <f t="shared" si="21"/>
        <v>5.9795254454548585</v>
      </c>
      <c r="I48" s="9">
        <f t="shared" si="14"/>
        <v>33.742832674847115</v>
      </c>
      <c r="J48" s="23">
        <f t="shared" si="15"/>
        <v>0.9137709903962052</v>
      </c>
      <c r="K48" s="44">
        <f t="shared" si="16"/>
        <v>2.4729949300249596</v>
      </c>
      <c r="L48" s="46">
        <f aca="true" t="shared" si="28" ref="L48:L79">L47+yca</f>
        <v>0.5440000000000004</v>
      </c>
      <c r="M48" s="9">
        <f t="shared" si="22"/>
        <v>38.65243910264725</v>
      </c>
      <c r="N48" s="23">
        <f t="shared" si="23"/>
        <v>2.861754874222698</v>
      </c>
      <c r="O48" s="9">
        <f t="shared" si="4"/>
        <v>38.75823382900712</v>
      </c>
      <c r="P48" s="9">
        <f t="shared" si="18"/>
        <v>2.1138743671772144</v>
      </c>
      <c r="Q48" s="9">
        <f t="shared" si="24"/>
        <v>67.18523717528903</v>
      </c>
      <c r="R48" s="23">
        <f t="shared" si="25"/>
        <v>8.477127827592307</v>
      </c>
      <c r="S48" s="9">
        <f t="shared" si="20"/>
        <v>64.25082709855442</v>
      </c>
      <c r="T48" s="23">
        <f t="shared" si="26"/>
        <v>1.5283060319187305</v>
      </c>
      <c r="U48" s="44">
        <f t="shared" si="27"/>
        <v>4.390060906141429</v>
      </c>
      <c r="V48" s="36"/>
    </row>
    <row r="49" spans="1:22" ht="13.5" customHeight="1">
      <c r="A49" s="37"/>
      <c r="B49" s="46">
        <f t="shared" si="19"/>
        <v>0.4200000000000002</v>
      </c>
      <c r="C49" s="9">
        <f t="shared" si="9"/>
        <v>22.375708639115484</v>
      </c>
      <c r="D49" s="23">
        <f t="shared" si="10"/>
        <v>1.5800827445329015</v>
      </c>
      <c r="E49" s="9">
        <f t="shared" si="11"/>
        <v>22.431428812765315</v>
      </c>
      <c r="F49" s="9">
        <f t="shared" si="12"/>
        <v>1.9168609550233031</v>
      </c>
      <c r="G49" s="9">
        <f t="shared" si="13"/>
        <v>50.134797886760325</v>
      </c>
      <c r="H49" s="23">
        <f t="shared" si="21"/>
        <v>5.961478117471261</v>
      </c>
      <c r="I49" s="9">
        <f t="shared" si="14"/>
        <v>33.64099048453726</v>
      </c>
      <c r="J49" s="23">
        <f t="shared" si="15"/>
        <v>0.9613021208031709</v>
      </c>
      <c r="K49" s="44">
        <f t="shared" si="16"/>
        <v>2.5413848653360724</v>
      </c>
      <c r="L49" s="46">
        <f t="shared" si="28"/>
        <v>0.5600000000000004</v>
      </c>
      <c r="M49" s="9">
        <f t="shared" si="22"/>
        <v>39.72667137500197</v>
      </c>
      <c r="N49" s="23">
        <f t="shared" si="23"/>
        <v>2.900149984534785</v>
      </c>
      <c r="O49" s="9">
        <f t="shared" si="4"/>
        <v>39.83238994173207</v>
      </c>
      <c r="P49" s="9">
        <f t="shared" si="18"/>
        <v>1.9800981956334451</v>
      </c>
      <c r="Q49" s="9">
        <f t="shared" si="24"/>
        <v>67.0439966640406</v>
      </c>
      <c r="R49" s="23">
        <f t="shared" si="25"/>
        <v>8.441523120696939</v>
      </c>
      <c r="S49" s="9">
        <f t="shared" si="20"/>
        <v>63.980967788519834</v>
      </c>
      <c r="T49" s="23">
        <f t="shared" si="26"/>
        <v>1.61191991282337</v>
      </c>
      <c r="U49" s="44">
        <f t="shared" si="27"/>
        <v>4.512069897358155</v>
      </c>
      <c r="V49" s="36"/>
    </row>
    <row r="50" spans="1:22" ht="13.5" customHeight="1">
      <c r="A50" s="37"/>
      <c r="B50" s="46">
        <f t="shared" si="19"/>
        <v>0.4320000000000002</v>
      </c>
      <c r="C50" s="9">
        <f t="shared" si="9"/>
        <v>22.976989558059497</v>
      </c>
      <c r="D50" s="23">
        <f t="shared" si="10"/>
        <v>1.5995001078664937</v>
      </c>
      <c r="E50" s="9">
        <f t="shared" si="11"/>
        <v>23.032595375819895</v>
      </c>
      <c r="F50" s="9">
        <f t="shared" si="12"/>
        <v>1.7823914398587548</v>
      </c>
      <c r="G50" s="9">
        <f t="shared" si="13"/>
        <v>50.05946056182335</v>
      </c>
      <c r="H50" s="23">
        <f t="shared" si="21"/>
        <v>5.943575008798692</v>
      </c>
      <c r="I50" s="9">
        <f t="shared" si="14"/>
        <v>33.53996213273766</v>
      </c>
      <c r="J50" s="23">
        <f t="shared" si="15"/>
        <v>1.0101769511098018</v>
      </c>
      <c r="K50" s="44">
        <f t="shared" si="16"/>
        <v>2.6096770589762954</v>
      </c>
      <c r="L50" s="46">
        <f t="shared" si="28"/>
        <v>0.5760000000000004</v>
      </c>
      <c r="M50" s="9">
        <f t="shared" si="22"/>
        <v>40.798734798449814</v>
      </c>
      <c r="N50" s="23">
        <f t="shared" si="23"/>
        <v>2.935958751237733</v>
      </c>
      <c r="O50" s="9">
        <f t="shared" si="4"/>
        <v>40.90423712701668</v>
      </c>
      <c r="P50" s="9">
        <f t="shared" si="18"/>
        <v>1.8460297213520107</v>
      </c>
      <c r="Q50" s="9">
        <f t="shared" si="24"/>
        <v>66.9036924852282</v>
      </c>
      <c r="R50" s="23">
        <f t="shared" si="25"/>
        <v>8.40622863526775</v>
      </c>
      <c r="S50" s="9">
        <f t="shared" si="20"/>
        <v>63.71345974488009</v>
      </c>
      <c r="T50" s="23">
        <f t="shared" si="26"/>
        <v>1.697873804142699</v>
      </c>
      <c r="U50" s="44">
        <f t="shared" si="27"/>
        <v>4.633832555380432</v>
      </c>
      <c r="V50" s="36"/>
    </row>
    <row r="51" spans="1:22" ht="13.5" customHeight="1">
      <c r="A51" s="37"/>
      <c r="B51" s="46">
        <f t="shared" si="19"/>
        <v>0.44400000000000023</v>
      </c>
      <c r="C51" s="9">
        <f t="shared" si="9"/>
        <v>23.577412439502798</v>
      </c>
      <c r="D51" s="23">
        <f t="shared" si="10"/>
        <v>1.6174781302415957</v>
      </c>
      <c r="E51" s="9">
        <f t="shared" si="11"/>
        <v>23.63282913331011</v>
      </c>
      <c r="F51" s="9">
        <f t="shared" si="12"/>
        <v>1.6477100745196307</v>
      </c>
      <c r="G51" s="9">
        <f t="shared" si="13"/>
        <v>49.98461443945233</v>
      </c>
      <c r="H51" s="23">
        <f t="shared" si="21"/>
        <v>5.925815289564865</v>
      </c>
      <c r="I51" s="9">
        <f t="shared" si="14"/>
        <v>33.43974293642755</v>
      </c>
      <c r="J51" s="23">
        <f t="shared" si="15"/>
        <v>1.0603936683209134</v>
      </c>
      <c r="K51" s="44">
        <f t="shared" si="16"/>
        <v>2.677871798562509</v>
      </c>
      <c r="L51" s="46">
        <f t="shared" si="28"/>
        <v>0.5920000000000004</v>
      </c>
      <c r="M51" s="9">
        <f t="shared" si="22"/>
        <v>41.86863831354603</v>
      </c>
      <c r="N51" s="23">
        <f t="shared" si="23"/>
        <v>2.9691865431222744</v>
      </c>
      <c r="O51" s="9">
        <f t="shared" si="4"/>
        <v>41.973788761063645</v>
      </c>
      <c r="P51" s="9">
        <f t="shared" si="18"/>
        <v>1.7116703057967393</v>
      </c>
      <c r="Q51" s="9">
        <f t="shared" si="24"/>
        <v>66.76432050244247</v>
      </c>
      <c r="R51" s="23">
        <f t="shared" si="25"/>
        <v>8.371241853706707</v>
      </c>
      <c r="S51" s="9">
        <f t="shared" si="20"/>
        <v>63.448283885965154</v>
      </c>
      <c r="T51" s="23">
        <f t="shared" si="26"/>
        <v>1.7861633525350231</v>
      </c>
      <c r="U51" s="44">
        <f t="shared" si="27"/>
        <v>4.7553498956572975</v>
      </c>
      <c r="V51" s="36"/>
    </row>
    <row r="52" spans="1:22" ht="13.5" customHeight="1">
      <c r="A52" s="37"/>
      <c r="B52" s="46">
        <f t="shared" si="19"/>
        <v>0.45600000000000024</v>
      </c>
      <c r="C52" s="9">
        <f t="shared" si="9"/>
        <v>24.17697980003349</v>
      </c>
      <c r="D52" s="23">
        <f t="shared" si="10"/>
        <v>1.6340189027907983</v>
      </c>
      <c r="E52" s="9">
        <f t="shared" si="11"/>
        <v>24.232135069487892</v>
      </c>
      <c r="F52" s="9">
        <f t="shared" si="12"/>
        <v>1.512818278216046</v>
      </c>
      <c r="G52" s="9">
        <f t="shared" si="13"/>
        <v>49.910258252057126</v>
      </c>
      <c r="H52" s="23">
        <f t="shared" si="21"/>
        <v>5.908198136477604</v>
      </c>
      <c r="I52" s="9">
        <f t="shared" si="14"/>
        <v>33.34032824971819</v>
      </c>
      <c r="J52" s="23">
        <f t="shared" si="15"/>
        <v>1.1119504671325808</v>
      </c>
      <c r="K52" s="44">
        <f t="shared" si="16"/>
        <v>2.745969369923379</v>
      </c>
      <c r="L52" s="46">
        <f t="shared" si="28"/>
        <v>0.6080000000000004</v>
      </c>
      <c r="M52" s="9">
        <f t="shared" si="22"/>
        <v>42.93639079433844</v>
      </c>
      <c r="N52" s="23">
        <f t="shared" si="23"/>
        <v>2.9998386952764866</v>
      </c>
      <c r="O52" s="9">
        <f t="shared" si="4"/>
        <v>43.04105814965321</v>
      </c>
      <c r="P52" s="9">
        <f t="shared" si="18"/>
        <v>1.5770213278661511</v>
      </c>
      <c r="Q52" s="9">
        <f t="shared" si="24"/>
        <v>66.62587661396799</v>
      </c>
      <c r="R52" s="23">
        <f t="shared" si="25"/>
        <v>8.33656028558029</v>
      </c>
      <c r="S52" s="9">
        <f t="shared" si="20"/>
        <v>63.18542133599344</v>
      </c>
      <c r="T52" s="23">
        <f t="shared" si="26"/>
        <v>1.876784230807531</v>
      </c>
      <c r="U52" s="44">
        <f t="shared" si="27"/>
        <v>4.876622926084018</v>
      </c>
      <c r="V52" s="36"/>
    </row>
    <row r="53" spans="1:22" ht="13.5" customHeight="1">
      <c r="A53" s="37"/>
      <c r="B53" s="46">
        <f t="shared" si="19"/>
        <v>0.46800000000000025</v>
      </c>
      <c r="C53" s="9">
        <f t="shared" si="9"/>
        <v>24.775694140591707</v>
      </c>
      <c r="D53" s="23">
        <f t="shared" si="10"/>
        <v>1.6491245072553071</v>
      </c>
      <c r="E53" s="9">
        <f t="shared" si="11"/>
        <v>24.830518153848104</v>
      </c>
      <c r="F53" s="9">
        <f t="shared" si="12"/>
        <v>1.3777174829587964</v>
      </c>
      <c r="G53" s="9">
        <f t="shared" si="13"/>
        <v>49.83639073755508</v>
      </c>
      <c r="H53" s="23">
        <f t="shared" si="21"/>
        <v>5.890722732756889</v>
      </c>
      <c r="I53" s="9">
        <f t="shared" si="14"/>
        <v>33.241713463469274</v>
      </c>
      <c r="J53" s="23">
        <f t="shared" si="15"/>
        <v>1.1648455498549994</v>
      </c>
      <c r="K53" s="44">
        <f t="shared" si="16"/>
        <v>2.8139700571103066</v>
      </c>
      <c r="L53" s="46">
        <f t="shared" si="28"/>
        <v>0.6240000000000004</v>
      </c>
      <c r="M53" s="9">
        <f t="shared" si="22"/>
        <v>44.002001048928946</v>
      </c>
      <c r="N53" s="23">
        <f t="shared" si="23"/>
        <v>3.0279205094427986</v>
      </c>
      <c r="O53" s="9">
        <f t="shared" si="4"/>
        <v>44.10605852852245</v>
      </c>
      <c r="P53" s="9">
        <f t="shared" si="18"/>
        <v>1.4420841838997178</v>
      </c>
      <c r="Q53" s="9">
        <f t="shared" si="24"/>
        <v>66.48835675227375</v>
      </c>
      <c r="R53" s="23">
        <f t="shared" si="25"/>
        <v>8.302181467258146</v>
      </c>
      <c r="S53" s="9">
        <f t="shared" si="20"/>
        <v>62.92485342233298</v>
      </c>
      <c r="T53" s="23">
        <f t="shared" si="26"/>
        <v>1.969732137623065</v>
      </c>
      <c r="U53" s="44">
        <f t="shared" si="27"/>
        <v>4.9976526470658635</v>
      </c>
      <c r="V53" s="36"/>
    </row>
    <row r="54" spans="1:22" ht="13.5" customHeight="1">
      <c r="A54" s="37"/>
      <c r="B54" s="46">
        <f t="shared" si="19"/>
        <v>0.48000000000000026</v>
      </c>
      <c r="C54" s="9">
        <f t="shared" si="9"/>
        <v>25.373557946565366</v>
      </c>
      <c r="D54" s="23">
        <f t="shared" si="10"/>
        <v>1.662797016072439</v>
      </c>
      <c r="E54" s="9">
        <f t="shared" si="11"/>
        <v>25.42798334088588</v>
      </c>
      <c r="F54" s="9">
        <f t="shared" si="12"/>
        <v>1.2424091335156056</v>
      </c>
      <c r="G54" s="9">
        <f t="shared" si="13"/>
        <v>49.763010639251505</v>
      </c>
      <c r="H54" s="23">
        <f t="shared" si="21"/>
        <v>5.8733882680676395</v>
      </c>
      <c r="I54" s="9">
        <f t="shared" si="14"/>
        <v>33.143894004909725</v>
      </c>
      <c r="J54" s="23">
        <f t="shared" si="15"/>
        <v>1.2190771263358668</v>
      </c>
      <c r="K54" s="44">
        <f t="shared" si="16"/>
        <v>2.881874142408306</v>
      </c>
      <c r="L54" s="46">
        <f t="shared" si="28"/>
        <v>0.6400000000000005</v>
      </c>
      <c r="M54" s="9">
        <f t="shared" si="22"/>
        <v>45.06547782002907</v>
      </c>
      <c r="N54" s="23">
        <f t="shared" si="23"/>
        <v>3.053437254371509</v>
      </c>
      <c r="O54" s="9">
        <f t="shared" si="4"/>
        <v>45.168803063773076</v>
      </c>
      <c r="P54" s="9">
        <f t="shared" si="18"/>
        <v>1.3068602876815816</v>
      </c>
      <c r="Q54" s="9">
        <f t="shared" si="24"/>
        <v>66.35175688350955</v>
      </c>
      <c r="R54" s="23">
        <f t="shared" si="25"/>
        <v>8.268102961557206</v>
      </c>
      <c r="S54" s="9">
        <f t="shared" si="20"/>
        <v>62.666561672804164</v>
      </c>
      <c r="T54" s="23">
        <f t="shared" si="26"/>
        <v>2.0650027972096994</v>
      </c>
      <c r="U54" s="44">
        <f t="shared" si="27"/>
        <v>5.118440051581208</v>
      </c>
      <c r="V54" s="36"/>
    </row>
    <row r="55" spans="1:22" ht="13.5" customHeight="1">
      <c r="A55" s="37"/>
      <c r="B55" s="46">
        <f t="shared" si="19"/>
        <v>0.49200000000000027</v>
      </c>
      <c r="C55" s="9">
        <f t="shared" si="9"/>
        <v>25.970573687885214</v>
      </c>
      <c r="D55" s="23">
        <f t="shared" si="10"/>
        <v>1.6750384924625323</v>
      </c>
      <c r="E55" s="9">
        <f t="shared" si="11"/>
        <v>26.02453556990224</v>
      </c>
      <c r="F55" s="9">
        <f t="shared" si="12"/>
        <v>1.1068946873653953</v>
      </c>
      <c r="G55" s="9">
        <f t="shared" si="13"/>
        <v>49.69011670572129</v>
      </c>
      <c r="H55" s="23">
        <f t="shared" si="21"/>
        <v>5.8561939384532655</v>
      </c>
      <c r="I55" s="9">
        <f t="shared" si="14"/>
        <v>33.046865337262695</v>
      </c>
      <c r="J55" s="23">
        <f t="shared" si="15"/>
        <v>1.274643413884267</v>
      </c>
      <c r="K55" s="44">
        <f t="shared" si="16"/>
        <v>2.9496819063467994</v>
      </c>
      <c r="L55" s="46">
        <f t="shared" si="28"/>
        <v>0.6560000000000005</v>
      </c>
      <c r="M55" s="9">
        <f t="shared" si="22"/>
        <v>46.12682978550971</v>
      </c>
      <c r="N55" s="23">
        <f t="shared" si="23"/>
        <v>3.0763941661708607</v>
      </c>
      <c r="O55" s="9">
        <f t="shared" si="4"/>
        <v>46.2293048523016</v>
      </c>
      <c r="P55" s="9">
        <f t="shared" si="18"/>
        <v>1.1713510704417167</v>
      </c>
      <c r="Q55" s="9">
        <f t="shared" si="24"/>
        <v>66.2160730070081</v>
      </c>
      <c r="R55" s="23">
        <f t="shared" si="25"/>
        <v>8.234322357391171</v>
      </c>
      <c r="S55" s="9">
        <f t="shared" si="20"/>
        <v>62.41052781302303</v>
      </c>
      <c r="T55" s="23">
        <f t="shared" si="26"/>
        <v>2.1625919590731044</v>
      </c>
      <c r="U55" s="44">
        <f t="shared" si="27"/>
        <v>5.238986125243965</v>
      </c>
      <c r="V55" s="36"/>
    </row>
    <row r="56" spans="1:22" ht="13.5" customHeight="1">
      <c r="A56" s="37"/>
      <c r="B56" s="46">
        <f t="shared" si="19"/>
        <v>0.5040000000000002</v>
      </c>
      <c r="C56" s="9">
        <f t="shared" si="9"/>
        <v>26.566743819119182</v>
      </c>
      <c r="D56" s="23">
        <f t="shared" si="10"/>
        <v>1.6858509905152743</v>
      </c>
      <c r="E56" s="9">
        <f t="shared" si="11"/>
        <v>26.620179764849983</v>
      </c>
      <c r="F56" s="9">
        <f t="shared" si="12"/>
        <v>0.9711756146505744</v>
      </c>
      <c r="G56" s="9">
        <f t="shared" si="13"/>
        <v>49.617707690691425</v>
      </c>
      <c r="H56" s="23">
        <f t="shared" si="21"/>
        <v>5.839138946269966</v>
      </c>
      <c r="I56" s="9">
        <f t="shared" si="14"/>
        <v>32.950622959374776</v>
      </c>
      <c r="J56" s="23">
        <f t="shared" si="15"/>
        <v>1.3315426371950598</v>
      </c>
      <c r="K56" s="44">
        <f t="shared" si="16"/>
        <v>3.017393627710334</v>
      </c>
      <c r="L56" s="46">
        <f t="shared" si="28"/>
        <v>0.6720000000000005</v>
      </c>
      <c r="M56" s="9">
        <f t="shared" si="22"/>
        <v>47.1860655589451</v>
      </c>
      <c r="N56" s="23">
        <f t="shared" si="23"/>
        <v>3.0967964486537185</v>
      </c>
      <c r="O56" s="9">
        <f t="shared" si="4"/>
        <v>47.28757692224734</v>
      </c>
      <c r="P56" s="9">
        <f t="shared" si="18"/>
        <v>1.0355579808544895</v>
      </c>
      <c r="Q56" s="9">
        <f t="shared" si="24"/>
        <v>66.08130115479274</v>
      </c>
      <c r="R56" s="23">
        <f t="shared" si="25"/>
        <v>8.200837269425259</v>
      </c>
      <c r="S56" s="9">
        <f t="shared" si="20"/>
        <v>62.156733763784445</v>
      </c>
      <c r="T56" s="23">
        <f t="shared" si="26"/>
        <v>2.262495397711652</v>
      </c>
      <c r="U56" s="44">
        <f t="shared" si="27"/>
        <v>5.3592918463653705</v>
      </c>
      <c r="V56" s="36"/>
    </row>
    <row r="57" spans="1:22" ht="13.5" customHeight="1">
      <c r="A57" s="37"/>
      <c r="B57" s="46">
        <f t="shared" si="19"/>
        <v>0.5160000000000002</v>
      </c>
      <c r="C57" s="9">
        <f t="shared" si="9"/>
        <v>27.162070779566086</v>
      </c>
      <c r="D57" s="23">
        <f t="shared" si="10"/>
        <v>1.6952365552754536</v>
      </c>
      <c r="E57" s="9">
        <f t="shared" si="11"/>
        <v>27.214920834213352</v>
      </c>
      <c r="F57" s="9">
        <f t="shared" si="12"/>
        <v>0.8352533981273383</v>
      </c>
      <c r="G57" s="9">
        <f t="shared" si="13"/>
        <v>49.545782352924576</v>
      </c>
      <c r="H57" s="23">
        <f t="shared" si="21"/>
        <v>5.82222250012174</v>
      </c>
      <c r="I57" s="9">
        <f t="shared" si="14"/>
        <v>32.85516240534928</v>
      </c>
      <c r="J57" s="23">
        <f t="shared" si="15"/>
        <v>1.38977302827377</v>
      </c>
      <c r="K57" s="44">
        <f t="shared" si="16"/>
        <v>3.0850095835492235</v>
      </c>
      <c r="L57" s="46">
        <f t="shared" si="28"/>
        <v>0.6880000000000005</v>
      </c>
      <c r="M57" s="9">
        <f t="shared" si="22"/>
        <v>48.2431936901511</v>
      </c>
      <c r="N57" s="23">
        <f t="shared" si="23"/>
        <v>3.1146492736808877</v>
      </c>
      <c r="O57" s="9">
        <f t="shared" si="4"/>
        <v>48.343632233454244</v>
      </c>
      <c r="P57" s="9">
        <f t="shared" si="18"/>
        <v>0.8994824850346126</v>
      </c>
      <c r="Q57" s="9">
        <f t="shared" si="24"/>
        <v>65.94743739109087</v>
      </c>
      <c r="R57" s="23">
        <f t="shared" si="25"/>
        <v>8.167645337736145</v>
      </c>
      <c r="S57" s="9">
        <f t="shared" si="20"/>
        <v>61.90516163848478</v>
      </c>
      <c r="T57" s="23">
        <f t="shared" si="26"/>
        <v>2.364708912334234</v>
      </c>
      <c r="U57" s="44">
        <f t="shared" si="27"/>
        <v>5.479358186015122</v>
      </c>
      <c r="V57" s="36"/>
    </row>
    <row r="58" spans="1:22" ht="13.5" customHeight="1">
      <c r="A58" s="37"/>
      <c r="B58" s="46">
        <f t="shared" si="19"/>
        <v>0.5280000000000002</v>
      </c>
      <c r="C58" s="9">
        <f t="shared" si="9"/>
        <v>27.756556993348617</v>
      </c>
      <c r="D58" s="23">
        <f t="shared" si="10"/>
        <v>1.703197222828138</v>
      </c>
      <c r="E58" s="9">
        <f t="shared" si="11"/>
        <v>27.808763670916036</v>
      </c>
      <c r="F58" s="9">
        <f t="shared" si="12"/>
        <v>0.6991295331139797</v>
      </c>
      <c r="G58" s="9">
        <f t="shared" si="13"/>
        <v>49.47433945610362</v>
      </c>
      <c r="H58" s="23">
        <f t="shared" si="21"/>
        <v>5.805443814796133</v>
      </c>
      <c r="I58" s="9">
        <f t="shared" si="14"/>
        <v>32.76047924418368</v>
      </c>
      <c r="J58" s="23">
        <f t="shared" si="15"/>
        <v>1.4493328263619714</v>
      </c>
      <c r="K58" s="44">
        <f t="shared" si="16"/>
        <v>3.1525300491901094</v>
      </c>
      <c r="L58" s="46">
        <f t="shared" si="28"/>
        <v>0.7040000000000005</v>
      </c>
      <c r="M58" s="9">
        <f t="shared" si="22"/>
        <v>49.2982226657179</v>
      </c>
      <c r="N58" s="23">
        <f t="shared" si="23"/>
        <v>3.129957781501121</v>
      </c>
      <c r="O58" s="9">
        <f t="shared" si="4"/>
        <v>49.39748367794337</v>
      </c>
      <c r="P58" s="9">
        <f t="shared" si="18"/>
        <v>0.7631260665304502</v>
      </c>
      <c r="Q58" s="9">
        <f t="shared" si="24"/>
        <v>65.81447781185283</v>
      </c>
      <c r="R58" s="23">
        <f t="shared" si="25"/>
        <v>8.134744227476983</v>
      </c>
      <c r="S58" s="9">
        <f t="shared" si="20"/>
        <v>61.655793740582936</v>
      </c>
      <c r="T58" s="23">
        <f t="shared" si="26"/>
        <v>2.4692283265807626</v>
      </c>
      <c r="U58" s="44">
        <f t="shared" si="27"/>
        <v>5.599186108081883</v>
      </c>
      <c r="V58" s="36"/>
    </row>
    <row r="59" spans="1:22" ht="13.5" customHeight="1">
      <c r="A59" s="37"/>
      <c r="B59" s="46">
        <f t="shared" si="19"/>
        <v>0.5400000000000003</v>
      </c>
      <c r="C59" s="9">
        <f t="shared" si="9"/>
        <v>28.350204869505692</v>
      </c>
      <c r="D59" s="23">
        <f t="shared" si="10"/>
        <v>1.7097350203832875</v>
      </c>
      <c r="E59" s="9">
        <f t="shared" si="11"/>
        <v>28.401713152253144</v>
      </c>
      <c r="F59" s="9">
        <f t="shared" si="12"/>
        <v>0.5628055274371986</v>
      </c>
      <c r="G59" s="9">
        <f t="shared" si="13"/>
        <v>49.40337776871724</v>
      </c>
      <c r="H59" s="23">
        <f t="shared" si="21"/>
        <v>5.788802111200704</v>
      </c>
      <c r="I59" s="9">
        <f t="shared" si="14"/>
        <v>32.66656907941102</v>
      </c>
      <c r="J59" s="23">
        <f t="shared" si="15"/>
        <v>1.5102202778631637</v>
      </c>
      <c r="K59" s="44">
        <f t="shared" si="16"/>
        <v>3.219955298246451</v>
      </c>
      <c r="L59" s="46">
        <f t="shared" si="28"/>
        <v>0.7200000000000005</v>
      </c>
      <c r="M59" s="9">
        <f t="shared" si="22"/>
        <v>50.351160909537164</v>
      </c>
      <c r="N59" s="23">
        <f t="shared" si="23"/>
        <v>3.1427270810878487</v>
      </c>
      <c r="O59" s="9">
        <f t="shared" si="4"/>
        <v>50.44914408039354</v>
      </c>
      <c r="P59" s="9">
        <f t="shared" si="18"/>
        <v>0.6264902263146663</v>
      </c>
      <c r="Q59" s="9">
        <f t="shared" si="24"/>
        <v>65.68241854427629</v>
      </c>
      <c r="R59" s="23">
        <f t="shared" si="25"/>
        <v>8.102131628547449</v>
      </c>
      <c r="S59" s="9">
        <f t="shared" si="20"/>
        <v>61.408612561099524</v>
      </c>
      <c r="T59" s="23">
        <f t="shared" si="26"/>
        <v>2.5760494882453036</v>
      </c>
      <c r="U59" s="44">
        <f t="shared" si="27"/>
        <v>5.718776569333152</v>
      </c>
      <c r="V59" s="36"/>
    </row>
    <row r="60" spans="1:22" ht="13.5" customHeight="1">
      <c r="A60" s="37"/>
      <c r="B60" s="46">
        <f t="shared" si="19"/>
        <v>0.5520000000000003</v>
      </c>
      <c r="C60" s="9">
        <f t="shared" si="9"/>
        <v>28.94301680208415</v>
      </c>
      <c r="D60" s="23">
        <f t="shared" si="10"/>
        <v>1.714851966359803</v>
      </c>
      <c r="E60" s="9">
        <f t="shared" si="11"/>
        <v>28.993774139843424</v>
      </c>
      <c r="F60" s="9">
        <f t="shared" si="12"/>
        <v>0.4262829013764107</v>
      </c>
      <c r="G60" s="9">
        <f t="shared" si="13"/>
        <v>49.33289606394646</v>
      </c>
      <c r="H60" s="23">
        <f t="shared" si="21"/>
        <v>5.772296616300176</v>
      </c>
      <c r="I60" s="9">
        <f t="shared" si="14"/>
        <v>32.573427548745336</v>
      </c>
      <c r="J60" s="23">
        <f t="shared" si="15"/>
        <v>1.5724336362691365</v>
      </c>
      <c r="K60" s="44">
        <f t="shared" si="16"/>
        <v>3.2872856026289394</v>
      </c>
      <c r="L60" s="46">
        <f t="shared" si="28"/>
        <v>0.7360000000000005</v>
      </c>
      <c r="M60" s="9">
        <f t="shared" si="22"/>
        <v>51.40201678332374</v>
      </c>
      <c r="N60" s="23">
        <f t="shared" si="23"/>
        <v>3.152962250472681</v>
      </c>
      <c r="O60" s="9">
        <f t="shared" si="4"/>
        <v>51.498626198627875</v>
      </c>
      <c r="P60" s="9">
        <f t="shared" si="18"/>
        <v>0.48957648277218047</v>
      </c>
      <c r="Q60" s="9">
        <f t="shared" si="24"/>
        <v>65.55125574633607</v>
      </c>
      <c r="R60" s="23">
        <f t="shared" si="25"/>
        <v>8.069805255268697</v>
      </c>
      <c r="S60" s="9">
        <f t="shared" si="20"/>
        <v>61.16360077615322</v>
      </c>
      <c r="T60" s="23">
        <f t="shared" si="26"/>
        <v>2.6851682690018372</v>
      </c>
      <c r="U60" s="44">
        <f t="shared" si="27"/>
        <v>5.838130519474518</v>
      </c>
      <c r="V60" s="36"/>
    </row>
    <row r="61" spans="1:22" ht="13.5" customHeight="1">
      <c r="A61" s="37"/>
      <c r="B61" s="46">
        <f t="shared" si="19"/>
        <v>0.5640000000000003</v>
      </c>
      <c r="C61" s="9">
        <f t="shared" si="9"/>
        <v>29.534995170229767</v>
      </c>
      <c r="D61" s="23">
        <f t="shared" si="10"/>
        <v>1.7185500704690169</v>
      </c>
      <c r="E61" s="9">
        <f t="shared" si="11"/>
        <v>29.584951479598622</v>
      </c>
      <c r="F61" s="9">
        <f t="shared" si="12"/>
        <v>0.28956318760605604</v>
      </c>
      <c r="G61" s="9">
        <f t="shared" si="13"/>
        <v>49.262893119552174</v>
      </c>
      <c r="H61" s="23">
        <f t="shared" si="21"/>
        <v>5.755926563054297</v>
      </c>
      <c r="I61" s="9">
        <f t="shared" si="14"/>
        <v>32.48105032373095</v>
      </c>
      <c r="J61" s="23">
        <f t="shared" si="15"/>
        <v>1.6359711620868183</v>
      </c>
      <c r="K61" s="44">
        <f t="shared" si="16"/>
        <v>3.354521232555835</v>
      </c>
      <c r="L61" s="46">
        <f t="shared" si="28"/>
        <v>0.7520000000000006</v>
      </c>
      <c r="M61" s="9">
        <f t="shared" si="22"/>
        <v>52.45079858713198</v>
      </c>
      <c r="N61" s="23">
        <f t="shared" si="23"/>
        <v>3.160668337075714</v>
      </c>
      <c r="O61" s="9">
        <f t="shared" si="4"/>
        <v>52.54594272410458</v>
      </c>
      <c r="P61" s="9">
        <f t="shared" si="18"/>
        <v>0.3523863716854145</v>
      </c>
      <c r="Q61" s="9">
        <f t="shared" si="24"/>
        <v>65.42098560631922</v>
      </c>
      <c r="R61" s="23">
        <f t="shared" si="25"/>
        <v>8.037762846063147</v>
      </c>
      <c r="S61" s="9">
        <f t="shared" si="20"/>
        <v>60.92074124453381</v>
      </c>
      <c r="T61" s="23">
        <f t="shared" si="26"/>
        <v>2.7965805641325896</v>
      </c>
      <c r="U61" s="44">
        <f t="shared" si="27"/>
        <v>5.957248901208303</v>
      </c>
      <c r="V61" s="36"/>
    </row>
    <row r="62" spans="1:22" ht="13.5" customHeight="1">
      <c r="A62" s="37"/>
      <c r="B62" s="46">
        <f t="shared" si="19"/>
        <v>0.5760000000000003</v>
      </c>
      <c r="C62" s="9">
        <f t="shared" si="9"/>
        <v>30.12614233827768</v>
      </c>
      <c r="D62" s="23">
        <f t="shared" si="10"/>
        <v>1.7208313337976318</v>
      </c>
      <c r="E62" s="9">
        <f t="shared" si="11"/>
        <v>30.17525000170747</v>
      </c>
      <c r="F62" s="9">
        <f t="shared" si="12"/>
        <v>0.15264793113589217</v>
      </c>
      <c r="G62" s="9">
        <f t="shared" si="13"/>
        <v>49.19336771776375</v>
      </c>
      <c r="H62" s="23">
        <f t="shared" si="21"/>
        <v>5.739691190356385</v>
      </c>
      <c r="I62" s="9">
        <f t="shared" si="14"/>
        <v>32.38943310939568</v>
      </c>
      <c r="J62" s="23">
        <f t="shared" si="15"/>
        <v>1.700831122765607</v>
      </c>
      <c r="K62" s="44">
        <f t="shared" si="16"/>
        <v>3.4216624565632388</v>
      </c>
      <c r="L62" s="46">
        <f t="shared" si="28"/>
        <v>0.7680000000000006</v>
      </c>
      <c r="M62" s="9">
        <f t="shared" si="22"/>
        <v>53.49751455986678</v>
      </c>
      <c r="N62" s="23">
        <f t="shared" si="23"/>
        <v>3.1658503580326833</v>
      </c>
      <c r="O62" s="9">
        <f t="shared" si="4"/>
        <v>53.59110628241046</v>
      </c>
      <c r="P62" s="9">
        <f t="shared" si="18"/>
        <v>0.2149214462168032</v>
      </c>
      <c r="Q62" s="9">
        <f t="shared" si="24"/>
        <v>65.29160434236546</v>
      </c>
      <c r="R62" s="23">
        <f t="shared" si="25"/>
        <v>8.006002163139023</v>
      </c>
      <c r="S62" s="9">
        <f t="shared" si="20"/>
        <v>60.6800170053112</v>
      </c>
      <c r="T62" s="23">
        <f t="shared" si="26"/>
        <v>2.910282292258925</v>
      </c>
      <c r="U62" s="44">
        <f t="shared" si="27"/>
        <v>6.076132650291608</v>
      </c>
      <c r="V62" s="36"/>
    </row>
    <row r="63" spans="1:22" ht="13.5" customHeight="1">
      <c r="A63" s="37"/>
      <c r="B63" s="46">
        <f t="shared" si="19"/>
        <v>0.5880000000000003</v>
      </c>
      <c r="C63" s="9">
        <f t="shared" si="9"/>
        <v>30.716460655842116</v>
      </c>
      <c r="D63" s="23">
        <f t="shared" si="10"/>
        <v>1.7216977488901086</v>
      </c>
      <c r="E63" s="9">
        <f t="shared" si="11"/>
        <v>30.7646745206321</v>
      </c>
      <c r="F63" s="9">
        <f t="shared" si="12"/>
        <v>0.01553868924928729</v>
      </c>
      <c r="G63" s="9">
        <f t="shared" si="13"/>
        <v>49.124318645168536</v>
      </c>
      <c r="H63" s="23">
        <f t="shared" si="21"/>
        <v>5.72358974297255</v>
      </c>
      <c r="I63" s="9">
        <f t="shared" si="14"/>
        <v>32.29857164390789</v>
      </c>
      <c r="J63" s="23">
        <f t="shared" si="15"/>
        <v>1.767011792625172</v>
      </c>
      <c r="K63" s="44">
        <f t="shared" si="16"/>
        <v>3.4887095415152807</v>
      </c>
      <c r="L63" s="46">
        <f t="shared" si="28"/>
        <v>0.7840000000000006</v>
      </c>
      <c r="M63" s="9">
        <f t="shared" si="22"/>
        <v>54.542172879789334</v>
      </c>
      <c r="N63" s="23">
        <f t="shared" si="23"/>
        <v>3.168513300519005</v>
      </c>
      <c r="O63" s="9">
        <f t="shared" si="4"/>
        <v>54.6341294337559</v>
      </c>
      <c r="P63" s="9">
        <f t="shared" si="18"/>
        <v>0.07718327688855621</v>
      </c>
      <c r="Q63" s="9">
        <f t="shared" si="24"/>
        <v>65.16310820201275</v>
      </c>
      <c r="R63" s="23">
        <f t="shared" si="25"/>
        <v>7.9745209921795785</v>
      </c>
      <c r="S63" s="9">
        <f t="shared" si="20"/>
        <v>60.44141127547997</v>
      </c>
      <c r="T63" s="23">
        <f t="shared" si="26"/>
        <v>3.0262693950747455</v>
      </c>
      <c r="U63" s="44">
        <f t="shared" si="27"/>
        <v>6.194782695593751</v>
      </c>
      <c r="V63" s="36"/>
    </row>
    <row r="64" spans="1:22" ht="13.5" customHeight="1">
      <c r="A64" s="37"/>
      <c r="B64" s="46">
        <f t="shared" si="19"/>
        <v>0.6000000000000003</v>
      </c>
      <c r="C64" s="9">
        <f t="shared" si="9"/>
        <v>31.305952457905537</v>
      </c>
      <c r="D64" s="23">
        <f t="shared" si="10"/>
        <v>1.721151299830511</v>
      </c>
      <c r="E64" s="9">
        <f t="shared" si="11"/>
        <v>31.353229835115073</v>
      </c>
      <c r="F64" s="9">
        <f t="shared" si="12"/>
        <v>-0.12176296856050965</v>
      </c>
      <c r="G64" s="9">
        <f t="shared" si="13"/>
        <v>49.05574469260244</v>
      </c>
      <c r="H64" s="23">
        <f t="shared" si="21"/>
        <v>5.707621471481592</v>
      </c>
      <c r="I64" s="9">
        <f t="shared" si="14"/>
        <v>32.20846169823728</v>
      </c>
      <c r="J64" s="23">
        <f t="shared" si="15"/>
        <v>1.8345114527837363</v>
      </c>
      <c r="K64" s="44">
        <f t="shared" si="16"/>
        <v>3.5556627526142472</v>
      </c>
      <c r="L64" s="46">
        <f t="shared" si="28"/>
        <v>0.8000000000000006</v>
      </c>
      <c r="M64" s="9">
        <f t="shared" si="22"/>
        <v>55.58478166501775</v>
      </c>
      <c r="N64" s="23">
        <f t="shared" si="23"/>
        <v>3.168662122070738</v>
      </c>
      <c r="O64" s="9">
        <f t="shared" si="4"/>
        <v>55.67502467347041</v>
      </c>
      <c r="P64" s="9">
        <f t="shared" si="18"/>
        <v>-0.06082654844036173</v>
      </c>
      <c r="Q64" s="9">
        <f t="shared" si="24"/>
        <v>65.03549346174812</v>
      </c>
      <c r="R64" s="23">
        <f t="shared" si="25"/>
        <v>7.943317142036917</v>
      </c>
      <c r="S64" s="9">
        <f t="shared" si="20"/>
        <v>60.204907447638696</v>
      </c>
      <c r="T64" s="23">
        <f t="shared" si="26"/>
        <v>3.144537837082388</v>
      </c>
      <c r="U64" s="44">
        <f t="shared" si="27"/>
        <v>6.313199959153126</v>
      </c>
      <c r="V64" s="36"/>
    </row>
    <row r="65" spans="1:22" ht="13.5" customHeight="1">
      <c r="A65" s="37"/>
      <c r="B65" s="46">
        <f t="shared" si="19"/>
        <v>0.6120000000000003</v>
      </c>
      <c r="C65" s="9">
        <f t="shared" si="9"/>
        <v>31.894620064907137</v>
      </c>
      <c r="D65" s="23">
        <f t="shared" si="10"/>
        <v>1.7191939623238084</v>
      </c>
      <c r="E65" s="9">
        <f t="shared" si="11"/>
        <v>31.94092072819548</v>
      </c>
      <c r="F65" s="9">
        <f t="shared" si="12"/>
        <v>-0.25925546065610156</v>
      </c>
      <c r="G65" s="9">
        <f t="shared" si="13"/>
        <v>48.98764465504146</v>
      </c>
      <c r="H65" s="23">
        <f t="shared" si="21"/>
        <v>5.691785632215544</v>
      </c>
      <c r="I65" s="9">
        <f t="shared" si="14"/>
        <v>32.11909907581944</v>
      </c>
      <c r="J65" s="23">
        <f t="shared" si="15"/>
        <v>1.903328391086823</v>
      </c>
      <c r="K65" s="44">
        <f t="shared" si="16"/>
        <v>3.6225223534106314</v>
      </c>
      <c r="L65" s="46">
        <f t="shared" si="28"/>
        <v>0.8160000000000006</v>
      </c>
      <c r="M65" s="9">
        <f t="shared" si="22"/>
        <v>56.62534897402259</v>
      </c>
      <c r="N65" s="23">
        <f t="shared" si="23"/>
        <v>3.1663017509025058</v>
      </c>
      <c r="O65" s="9">
        <f t="shared" si="4"/>
        <v>56.713804432497824</v>
      </c>
      <c r="P65" s="9">
        <f t="shared" si="18"/>
        <v>-0.1991064246000473</v>
      </c>
      <c r="Q65" s="9">
        <f t="shared" si="24"/>
        <v>64.9087564265635</v>
      </c>
      <c r="R65" s="23">
        <f t="shared" si="25"/>
        <v>7.912388444430307</v>
      </c>
      <c r="S65" s="9">
        <f t="shared" si="20"/>
        <v>59.970489087703434</v>
      </c>
      <c r="T65" s="23">
        <f t="shared" si="26"/>
        <v>3.2650836053309846</v>
      </c>
      <c r="U65" s="44">
        <f t="shared" si="27"/>
        <v>6.43138535623349</v>
      </c>
      <c r="V65" s="36"/>
    </row>
    <row r="66" spans="1:22" ht="13.5" customHeight="1">
      <c r="A66" s="37"/>
      <c r="B66" s="46">
        <f t="shared" si="19"/>
        <v>0.6240000000000003</v>
      </c>
      <c r="C66" s="9">
        <f t="shared" si="9"/>
        <v>32.48246578283075</v>
      </c>
      <c r="D66" s="23">
        <f t="shared" si="10"/>
        <v>1.7158277037766447</v>
      </c>
      <c r="E66" s="9">
        <f t="shared" si="11"/>
        <v>32.52775196723281</v>
      </c>
      <c r="F66" s="9">
        <f t="shared" si="12"/>
        <v>-0.3969371933236995</v>
      </c>
      <c r="G66" s="9">
        <f t="shared" si="13"/>
        <v>48.92001733149421</v>
      </c>
      <c r="H66" s="23">
        <f t="shared" si="21"/>
        <v>5.676081487200881</v>
      </c>
      <c r="I66" s="9">
        <f t="shared" si="14"/>
        <v>32.03047961222404</v>
      </c>
      <c r="J66" s="23">
        <f t="shared" si="15"/>
        <v>1.9734609020364735</v>
      </c>
      <c r="K66" s="44">
        <f t="shared" si="16"/>
        <v>3.6892886058131182</v>
      </c>
      <c r="L66" s="46">
        <f t="shared" si="28"/>
        <v>0.8320000000000006</v>
      </c>
      <c r="M66" s="9">
        <f t="shared" si="22"/>
        <v>57.66388280611733</v>
      </c>
      <c r="N66" s="23">
        <f t="shared" si="23"/>
        <v>3.161437086222422</v>
      </c>
      <c r="O66" s="9">
        <f t="shared" si="4"/>
        <v>57.75048107789039</v>
      </c>
      <c r="P66" s="9">
        <f t="shared" si="18"/>
        <v>-0.33765472913828487</v>
      </c>
      <c r="Q66" s="9">
        <f t="shared" si="24"/>
        <v>64.78289342951665</v>
      </c>
      <c r="R66" s="23">
        <f t="shared" si="25"/>
        <v>7.8817327536489605</v>
      </c>
      <c r="S66" s="9">
        <f t="shared" si="20"/>
        <v>59.73813993265495</v>
      </c>
      <c r="T66" s="23">
        <f t="shared" si="26"/>
        <v>3.3879027091572405</v>
      </c>
      <c r="U66" s="44">
        <f t="shared" si="27"/>
        <v>6.549339795379662</v>
      </c>
      <c r="V66" s="36"/>
    </row>
    <row r="67" spans="1:22" ht="13.5" customHeight="1">
      <c r="A67" s="37"/>
      <c r="B67" s="46">
        <f t="shared" si="19"/>
        <v>0.6360000000000003</v>
      </c>
      <c r="C67" s="9">
        <f t="shared" si="9"/>
        <v>33.06949190329211</v>
      </c>
      <c r="D67" s="23">
        <f t="shared" si="10"/>
        <v>1.7110544833775738</v>
      </c>
      <c r="E67" s="9">
        <f t="shared" si="11"/>
        <v>33.113728303937464</v>
      </c>
      <c r="F67" s="9">
        <f t="shared" si="12"/>
        <v>-0.5348065608428824</v>
      </c>
      <c r="G67" s="9">
        <f t="shared" si="13"/>
        <v>48.85286152489549</v>
      </c>
      <c r="H67" s="23">
        <f t="shared" si="21"/>
        <v>5.660508304100379</v>
      </c>
      <c r="I67" s="9">
        <f t="shared" si="14"/>
        <v>31.94259917482671</v>
      </c>
      <c r="J67" s="23">
        <f t="shared" si="15"/>
        <v>2.04490728672092</v>
      </c>
      <c r="K67" s="44">
        <f t="shared" si="16"/>
        <v>3.755961770098494</v>
      </c>
      <c r="L67" s="46">
        <f t="shared" si="28"/>
        <v>0.8480000000000006</v>
      </c>
      <c r="M67" s="9">
        <f t="shared" si="22"/>
        <v>58.70039110194388</v>
      </c>
      <c r="N67" s="23">
        <f t="shared" si="23"/>
        <v>3.154072998544042</v>
      </c>
      <c r="O67" s="9">
        <f t="shared" si="4"/>
        <v>58.78506691330134</v>
      </c>
      <c r="P67" s="9">
        <f t="shared" si="18"/>
        <v>-0.47646982235201646</v>
      </c>
      <c r="Q67" s="9">
        <f t="shared" si="24"/>
        <v>64.65790083129701</v>
      </c>
      <c r="R67" s="23">
        <f t="shared" si="25"/>
        <v>7.851347946259154</v>
      </c>
      <c r="S67" s="9">
        <f t="shared" si="20"/>
        <v>59.50784388831893</v>
      </c>
      <c r="T67" s="23">
        <f t="shared" si="26"/>
        <v>3.5129911799286337</v>
      </c>
      <c r="U67" s="44">
        <f t="shared" si="27"/>
        <v>6.667064178472676</v>
      </c>
      <c r="V67" s="36"/>
    </row>
    <row r="68" spans="1:22" ht="13.5" customHeight="1">
      <c r="A68" s="37"/>
      <c r="B68" s="46">
        <f t="shared" si="19"/>
        <v>0.6480000000000004</v>
      </c>
      <c r="C68" s="9">
        <f t="shared" si="9"/>
        <v>33.655700703625556</v>
      </c>
      <c r="D68" s="23">
        <f t="shared" si="10"/>
        <v>1.704876252176768</v>
      </c>
      <c r="E68" s="9">
        <f t="shared" si="11"/>
        <v>33.69885447440696</v>
      </c>
      <c r="F68" s="9">
        <f t="shared" si="12"/>
        <v>-0.6728619455583823</v>
      </c>
      <c r="G68" s="9">
        <f t="shared" si="13"/>
        <v>48.78617604200082</v>
      </c>
      <c r="H68" s="23">
        <f t="shared" si="21"/>
        <v>5.6450653561555955</v>
      </c>
      <c r="I68" s="9">
        <f t="shared" si="14"/>
        <v>31.855453662484543</v>
      </c>
      <c r="J68" s="23">
        <f t="shared" si="15"/>
        <v>2.1176658527447274</v>
      </c>
      <c r="K68" s="44">
        <f t="shared" si="16"/>
        <v>3.8225421049214954</v>
      </c>
      <c r="L68" s="46">
        <f t="shared" si="28"/>
        <v>0.8640000000000007</v>
      </c>
      <c r="M68" s="9">
        <f t="shared" si="22"/>
        <v>59.734881743953245</v>
      </c>
      <c r="N68" s="23">
        <f t="shared" si="23"/>
        <v>3.1442143299953895</v>
      </c>
      <c r="O68" s="9">
        <f t="shared" si="4"/>
        <v>59.81757417947527</v>
      </c>
      <c r="P68" s="9">
        <f t="shared" si="18"/>
        <v>-0.6155500473216614</v>
      </c>
      <c r="Q68" s="9">
        <f t="shared" si="24"/>
        <v>64.53377501979658</v>
      </c>
      <c r="R68" s="23">
        <f t="shared" si="25"/>
        <v>7.821231920815674</v>
      </c>
      <c r="S68" s="9">
        <f t="shared" si="20"/>
        <v>59.279585027178896</v>
      </c>
      <c r="T68" s="23">
        <f t="shared" si="26"/>
        <v>3.6403450707889733</v>
      </c>
      <c r="U68" s="44">
        <f t="shared" si="27"/>
        <v>6.784559400784363</v>
      </c>
      <c r="V68" s="36"/>
    </row>
    <row r="69" spans="1:22" ht="13.5" customHeight="1">
      <c r="A69" s="37"/>
      <c r="B69" s="46">
        <f t="shared" si="19"/>
        <v>0.6600000000000004</v>
      </c>
      <c r="C69" s="9">
        <f t="shared" si="9"/>
        <v>34.24109444697011</v>
      </c>
      <c r="D69" s="23">
        <f t="shared" si="10"/>
        <v>1.6972949531652033</v>
      </c>
      <c r="E69" s="9">
        <f t="shared" si="11"/>
        <v>34.283135199167056</v>
      </c>
      <c r="F69" s="9">
        <f t="shared" si="12"/>
        <v>-0.8111017179538746</v>
      </c>
      <c r="G69" s="9">
        <f t="shared" si="13"/>
        <v>48.71995969328197</v>
      </c>
      <c r="H69" s="23">
        <f t="shared" si="21"/>
        <v>5.629751922129989</v>
      </c>
      <c r="I69" s="9">
        <f t="shared" si="14"/>
        <v>31.769039005215028</v>
      </c>
      <c r="J69" s="23">
        <f t="shared" si="15"/>
        <v>2.1917349141593823</v>
      </c>
      <c r="K69" s="44">
        <f t="shared" si="16"/>
        <v>3.8890298673245853</v>
      </c>
      <c r="L69" s="46">
        <f t="shared" si="28"/>
        <v>0.8800000000000007</v>
      </c>
      <c r="M69" s="9">
        <f t="shared" si="22"/>
        <v>60.767362556881295</v>
      </c>
      <c r="N69" s="23">
        <f t="shared" si="23"/>
        <v>3.131865894625086</v>
      </c>
      <c r="O69" s="9">
        <f t="shared" si="4"/>
        <v>60.84801505473597</v>
      </c>
      <c r="P69" s="9">
        <f t="shared" si="18"/>
        <v>-0.7548937299483077</v>
      </c>
      <c r="Q69" s="9">
        <f t="shared" si="24"/>
        <v>64.41051240968552</v>
      </c>
      <c r="R69" s="23">
        <f t="shared" si="25"/>
        <v>7.791382597577445</v>
      </c>
      <c r="S69" s="9">
        <f t="shared" si="20"/>
        <v>59.053347586220895</v>
      </c>
      <c r="T69" s="23">
        <f t="shared" si="26"/>
        <v>3.769960456406308</v>
      </c>
      <c r="U69" s="44">
        <f t="shared" si="27"/>
        <v>6.901826351031394</v>
      </c>
      <c r="V69" s="36"/>
    </row>
    <row r="70" spans="1:22" ht="13.5" customHeight="1">
      <c r="A70" s="37"/>
      <c r="B70" s="46">
        <f t="shared" si="19"/>
        <v>0.6720000000000004</v>
      </c>
      <c r="C70" s="9">
        <f t="shared" si="9"/>
        <v>34.82567538235497</v>
      </c>
      <c r="D70" s="23">
        <f t="shared" si="10"/>
        <v>1.6883125213533245</v>
      </c>
      <c r="E70" s="9">
        <f t="shared" si="11"/>
        <v>34.866575183217</v>
      </c>
      <c r="F70" s="9">
        <f t="shared" si="12"/>
        <v>-0.94952423672778</v>
      </c>
      <c r="G70" s="9">
        <f t="shared" si="13"/>
        <v>48.654211292823476</v>
      </c>
      <c r="H70" s="23">
        <f t="shared" si="21"/>
        <v>5.614567286252654</v>
      </c>
      <c r="I70" s="9">
        <f t="shared" si="14"/>
        <v>31.683351163878573</v>
      </c>
      <c r="J70" s="23">
        <f t="shared" si="15"/>
        <v>2.2671127913943394</v>
      </c>
      <c r="K70" s="44">
        <f t="shared" si="16"/>
        <v>3.9554253127476637</v>
      </c>
      <c r="L70" s="46">
        <f t="shared" si="28"/>
        <v>0.8960000000000007</v>
      </c>
      <c r="M70" s="9">
        <f t="shared" si="22"/>
        <v>61.79784130821979</v>
      </c>
      <c r="N70" s="23">
        <f t="shared" si="23"/>
        <v>3.1170324787056174</v>
      </c>
      <c r="O70" s="9">
        <f t="shared" si="4"/>
        <v>61.87640165547138</v>
      </c>
      <c r="P70" s="9">
        <f t="shared" si="18"/>
        <v>-0.8944991789937924</v>
      </c>
      <c r="Q70" s="9">
        <f t="shared" si="24"/>
        <v>64.28810944199277</v>
      </c>
      <c r="R70" s="23">
        <f t="shared" si="25"/>
        <v>7.761797918227339</v>
      </c>
      <c r="S70" s="9">
        <f t="shared" si="20"/>
        <v>58.829115964809844</v>
      </c>
      <c r="T70" s="23">
        <f t="shared" si="26"/>
        <v>3.901833432723162</v>
      </c>
      <c r="U70" s="44">
        <f t="shared" si="27"/>
        <v>7.0188659114287795</v>
      </c>
      <c r="V70" s="36"/>
    </row>
    <row r="71" spans="1:22" ht="13.5" customHeight="1">
      <c r="A71" s="37"/>
      <c r="B71" s="46">
        <f t="shared" si="19"/>
        <v>0.6840000000000004</v>
      </c>
      <c r="C71" s="9">
        <f t="shared" si="9"/>
        <v>35.40944574478445</v>
      </c>
      <c r="D71" s="23">
        <f t="shared" si="10"/>
        <v>1.6779308838491946</v>
      </c>
      <c r="E71" s="9">
        <f t="shared" si="11"/>
        <v>35.44917911607839</v>
      </c>
      <c r="F71" s="9">
        <f t="shared" si="12"/>
        <v>-1.0881278488710795</v>
      </c>
      <c r="G71" s="9">
        <f t="shared" si="13"/>
        <v>48.588929658220216</v>
      </c>
      <c r="H71" s="23">
        <f t="shared" si="21"/>
        <v>5.599510738162678</v>
      </c>
      <c r="I71" s="9">
        <f t="shared" si="14"/>
        <v>31.598386129864544</v>
      </c>
      <c r="J71" s="23">
        <f t="shared" si="15"/>
        <v>2.3437978111885185</v>
      </c>
      <c r="K71" s="44">
        <f t="shared" si="16"/>
        <v>4.021728695037713</v>
      </c>
      <c r="L71" s="46">
        <f t="shared" si="28"/>
        <v>0.9120000000000007</v>
      </c>
      <c r="M71" s="9">
        <f t="shared" si="22"/>
        <v>62.82632570868271</v>
      </c>
      <c r="N71" s="23">
        <f t="shared" si="23"/>
        <v>3.0997188410337766</v>
      </c>
      <c r="O71" s="9">
        <f t="shared" si="4"/>
        <v>62.90274603661549</v>
      </c>
      <c r="P71" s="9">
        <f t="shared" si="18"/>
        <v>-1.0343646861236893</v>
      </c>
      <c r="Q71" s="9">
        <f t="shared" si="24"/>
        <v>64.16656258369127</v>
      </c>
      <c r="R71" s="23">
        <f t="shared" si="25"/>
        <v>7.732475845596052</v>
      </c>
      <c r="S71" s="9">
        <f t="shared" si="20"/>
        <v>58.60687472259666</v>
      </c>
      <c r="T71" s="23">
        <f t="shared" si="26"/>
        <v>4.035960116709054</v>
      </c>
      <c r="U71" s="44">
        <f t="shared" si="27"/>
        <v>7.135678957742831</v>
      </c>
      <c r="V71" s="36"/>
    </row>
    <row r="72" spans="1:22" ht="13.5" customHeight="1">
      <c r="A72" s="37"/>
      <c r="B72" s="46">
        <f t="shared" si="19"/>
        <v>0.6960000000000004</v>
      </c>
      <c r="C72" s="9">
        <f t="shared" si="9"/>
        <v>35.99240775532228</v>
      </c>
      <c r="D72" s="23">
        <f t="shared" si="10"/>
        <v>1.6661519599361336</v>
      </c>
      <c r="E72" s="9">
        <f t="shared" si="11"/>
        <v>36.03095167184712</v>
      </c>
      <c r="F72" s="9">
        <f t="shared" si="12"/>
        <v>-1.2269108897471328</v>
      </c>
      <c r="G72" s="9">
        <f t="shared" si="13"/>
        <v>48.52411361047591</v>
      </c>
      <c r="H72" s="23">
        <f t="shared" si="21"/>
        <v>5.584581572854094</v>
      </c>
      <c r="I72" s="9">
        <f t="shared" si="14"/>
        <v>31.514139924780558</v>
      </c>
      <c r="J72" s="23">
        <f t="shared" si="15"/>
        <v>2.4217883065222425</v>
      </c>
      <c r="K72" s="44">
        <f t="shared" si="16"/>
        <v>4.087940266458376</v>
      </c>
      <c r="L72" s="46">
        <f t="shared" si="28"/>
        <v>0.9280000000000007</v>
      </c>
      <c r="M72" s="9">
        <f t="shared" si="22"/>
        <v>63.85282341266795</v>
      </c>
      <c r="N72" s="23">
        <f t="shared" si="23"/>
        <v>3.0799297132283088</v>
      </c>
      <c r="O72" s="9">
        <f t="shared" si="4"/>
        <v>63.927060192126646</v>
      </c>
      <c r="P72" s="9">
        <f t="shared" si="18"/>
        <v>-1.1744885259532147</v>
      </c>
      <c r="Q72" s="9">
        <f t="shared" si="24"/>
        <v>64.04586832728798</v>
      </c>
      <c r="R72" s="23">
        <f t="shared" si="25"/>
        <v>7.7034143633899825</v>
      </c>
      <c r="S72" s="9">
        <f t="shared" si="20"/>
        <v>58.38660857745581</v>
      </c>
      <c r="T72" s="23">
        <f t="shared" si="26"/>
        <v>4.172336646115291</v>
      </c>
      <c r="U72" s="44">
        <f t="shared" si="27"/>
        <v>7.252266359343599</v>
      </c>
      <c r="V72" s="36"/>
    </row>
    <row r="73" spans="1:22" ht="13.5" customHeight="1">
      <c r="A73" s="37"/>
      <c r="B73" s="46">
        <f t="shared" si="19"/>
        <v>0.7080000000000004</v>
      </c>
      <c r="C73" s="9">
        <f t="shared" si="9"/>
        <v>36.57456362117544</v>
      </c>
      <c r="D73" s="23">
        <f t="shared" si="10"/>
        <v>1.6529776611498483</v>
      </c>
      <c r="E73" s="9">
        <f t="shared" si="11"/>
        <v>36.611897509247875</v>
      </c>
      <c r="F73" s="9">
        <f t="shared" si="12"/>
        <v>-1.3658716831735043</v>
      </c>
      <c r="G73" s="9">
        <f t="shared" si="13"/>
        <v>48.45976197390266</v>
      </c>
      <c r="H73" s="23">
        <f t="shared" si="21"/>
        <v>5.569779090621439</v>
      </c>
      <c r="I73" s="9">
        <f t="shared" si="14"/>
        <v>31.430608600145334</v>
      </c>
      <c r="J73" s="23">
        <f t="shared" si="15"/>
        <v>2.501082616549625</v>
      </c>
      <c r="K73" s="44">
        <f t="shared" si="16"/>
        <v>4.1540602776994735</v>
      </c>
      <c r="L73" s="46">
        <f t="shared" si="28"/>
        <v>0.9440000000000007</v>
      </c>
      <c r="M73" s="9">
        <f t="shared" si="22"/>
        <v>64.87734201871442</v>
      </c>
      <c r="N73" s="23">
        <f t="shared" si="23"/>
        <v>3.0576698000247986</v>
      </c>
      <c r="O73" s="9">
        <f t="shared" si="4"/>
        <v>64.9493560554624</v>
      </c>
      <c r="P73" s="9">
        <f t="shared" si="18"/>
        <v>-1.314868956096071</v>
      </c>
      <c r="Q73" s="9">
        <f t="shared" si="24"/>
        <v>63.92602319041853</v>
      </c>
      <c r="R73" s="23">
        <f t="shared" si="25"/>
        <v>7.674611475923074</v>
      </c>
      <c r="S73" s="9">
        <f t="shared" si="20"/>
        <v>58.16830240345288</v>
      </c>
      <c r="T73" s="23">
        <f t="shared" si="26"/>
        <v>4.3109591792319915</v>
      </c>
      <c r="U73" s="44">
        <f t="shared" si="27"/>
        <v>7.36862897925679</v>
      </c>
      <c r="V73" s="36"/>
    </row>
    <row r="74" spans="1:22" ht="13.5" customHeight="1">
      <c r="A74" s="37"/>
      <c r="B74" s="46">
        <f t="shared" si="19"/>
        <v>0.7200000000000004</v>
      </c>
      <c r="C74" s="9">
        <f t="shared" si="9"/>
        <v>37.15591553577733</v>
      </c>
      <c r="D74" s="23">
        <f t="shared" si="10"/>
        <v>1.6384098913550589</v>
      </c>
      <c r="E74" s="9">
        <f t="shared" si="11"/>
        <v>37.19202127169091</v>
      </c>
      <c r="F74" s="9">
        <f t="shared" si="12"/>
        <v>-1.5050085415057841</v>
      </c>
      <c r="G74" s="9">
        <f t="shared" si="13"/>
        <v>48.39587357602151</v>
      </c>
      <c r="H74" s="23">
        <f t="shared" si="21"/>
        <v>5.5551025970059005</v>
      </c>
      <c r="I74" s="9">
        <f t="shared" si="14"/>
        <v>31.347788237084753</v>
      </c>
      <c r="J74" s="23">
        <f t="shared" si="15"/>
        <v>2.581679086531395</v>
      </c>
      <c r="K74" s="44">
        <f t="shared" si="16"/>
        <v>4.220088977886454</v>
      </c>
      <c r="L74" s="46">
        <f t="shared" si="28"/>
        <v>0.9600000000000007</v>
      </c>
      <c r="M74" s="9">
        <f t="shared" si="22"/>
        <v>65.89988906995458</v>
      </c>
      <c r="N74" s="23">
        <f t="shared" si="23"/>
        <v>3.032943779567827</v>
      </c>
      <c r="O74" s="9">
        <f t="shared" si="4"/>
        <v>65.96964550005055</v>
      </c>
      <c r="P74" s="9">
        <f t="shared" si="18"/>
        <v>-1.4555042172162374</v>
      </c>
      <c r="Q74" s="9">
        <f t="shared" si="24"/>
        <v>63.807023715446604</v>
      </c>
      <c r="R74" s="23">
        <f t="shared" si="25"/>
        <v>7.6460652078525335</v>
      </c>
      <c r="S74" s="9">
        <f t="shared" si="20"/>
        <v>57.95194122884144</v>
      </c>
      <c r="T74" s="23">
        <f t="shared" si="26"/>
        <v>4.45182389464734</v>
      </c>
      <c r="U74" s="44">
        <f t="shared" si="27"/>
        <v>7.484767674215168</v>
      </c>
      <c r="V74" s="36"/>
    </row>
    <row r="75" spans="1:22" ht="13.5" customHeight="1">
      <c r="A75" s="37"/>
      <c r="B75" s="46">
        <f t="shared" si="19"/>
        <v>0.7320000000000004</v>
      </c>
      <c r="C75" s="9">
        <f t="shared" si="9"/>
        <v>37.73646567887042</v>
      </c>
      <c r="D75" s="23">
        <f t="shared" si="10"/>
        <v>1.6224505468216244</v>
      </c>
      <c r="E75" s="9">
        <f t="shared" si="11"/>
        <v>37.77132758733067</v>
      </c>
      <c r="F75" s="9">
        <f t="shared" si="12"/>
        <v>-1.6443197657234008</v>
      </c>
      <c r="G75" s="9">
        <f t="shared" si="13"/>
        <v>48.332447247463946</v>
      </c>
      <c r="H75" s="23">
        <f t="shared" si="21"/>
        <v>5.54055140274205</v>
      </c>
      <c r="I75" s="9">
        <f t="shared" si="14"/>
        <v>31.265674946031275</v>
      </c>
      <c r="J75" s="23">
        <f t="shared" si="15"/>
        <v>2.6635760677681555</v>
      </c>
      <c r="K75" s="44">
        <f t="shared" si="16"/>
        <v>4.28602661458978</v>
      </c>
      <c r="L75" s="46">
        <f t="shared" si="28"/>
        <v>0.9760000000000008</v>
      </c>
      <c r="M75" s="9">
        <f t="shared" si="22"/>
        <v>66.92047205456265</v>
      </c>
      <c r="N75" s="23">
        <f t="shared" si="23"/>
        <v>3.00575630370043</v>
      </c>
      <c r="O75" s="9">
        <f t="shared" si="4"/>
        <v>66.9879403397562</v>
      </c>
      <c r="P75" s="9">
        <f t="shared" si="18"/>
        <v>-1.5963925330827264</v>
      </c>
      <c r="Q75" s="9">
        <f t="shared" si="24"/>
        <v>63.688866469067726</v>
      </c>
      <c r="R75" s="23">
        <f t="shared" si="25"/>
        <v>7.617773603918362</v>
      </c>
      <c r="S75" s="9">
        <f t="shared" si="20"/>
        <v>57.73751023408888</v>
      </c>
      <c r="T75" s="23">
        <f t="shared" si="26"/>
        <v>4.594926991009025</v>
      </c>
      <c r="U75" s="44">
        <f t="shared" si="27"/>
        <v>7.600683294709455</v>
      </c>
      <c r="V75" s="36"/>
    </row>
    <row r="76" spans="1:22" ht="13.5" customHeight="1">
      <c r="A76" s="37"/>
      <c r="B76" s="46">
        <f t="shared" si="19"/>
        <v>0.7440000000000004</v>
      </c>
      <c r="C76" s="9">
        <f t="shared" si="9"/>
        <v>38.31621621658837</v>
      </c>
      <c r="D76" s="23">
        <f t="shared" si="10"/>
        <v>1.6051015163001725</v>
      </c>
      <c r="E76" s="9">
        <f t="shared" si="11"/>
        <v>38.34982106912598</v>
      </c>
      <c r="F76" s="9">
        <f t="shared" si="12"/>
        <v>-1.7838036455174382</v>
      </c>
      <c r="G76" s="9">
        <f t="shared" si="13"/>
        <v>48.26948182187448</v>
      </c>
      <c r="H76" s="23">
        <f t="shared" si="21"/>
        <v>5.526124823705146</v>
      </c>
      <c r="I76" s="9">
        <f t="shared" si="14"/>
        <v>31.184264866426588</v>
      </c>
      <c r="J76" s="23">
        <f t="shared" si="15"/>
        <v>2.7467719175340806</v>
      </c>
      <c r="K76" s="44">
        <f t="shared" si="16"/>
        <v>4.351873433834253</v>
      </c>
      <c r="L76" s="46">
        <f t="shared" si="28"/>
        <v>0.9920000000000008</v>
      </c>
      <c r="M76" s="9">
        <f t="shared" si="22"/>
        <v>67.93909840619826</v>
      </c>
      <c r="N76" s="23">
        <f t="shared" si="23"/>
        <v>2.9761119982508926</v>
      </c>
      <c r="O76" s="9">
        <f t="shared" si="4"/>
        <v>68.00425232934498</v>
      </c>
      <c r="P76" s="9">
        <f t="shared" si="18"/>
        <v>-1.737532110627314</v>
      </c>
      <c r="Q76" s="9">
        <f t="shared" si="24"/>
        <v>63.57154804191774</v>
      </c>
      <c r="R76" s="23">
        <f t="shared" si="25"/>
        <v>7.589734728686641</v>
      </c>
      <c r="S76" s="9">
        <f t="shared" si="20"/>
        <v>57.52499474993073</v>
      </c>
      <c r="T76" s="23">
        <f t="shared" si="26"/>
        <v>4.7402646867878335</v>
      </c>
      <c r="U76" s="44">
        <f t="shared" si="27"/>
        <v>7.7163766850387265</v>
      </c>
      <c r="V76" s="36"/>
    </row>
    <row r="77" spans="1:22" ht="13.5" customHeight="1">
      <c r="A77" s="37"/>
      <c r="B77" s="46">
        <f t="shared" si="19"/>
        <v>0.7560000000000004</v>
      </c>
      <c r="C77" s="9">
        <f t="shared" si="9"/>
        <v>38.895169301537614</v>
      </c>
      <c r="D77" s="23">
        <f t="shared" si="10"/>
        <v>1.5863646810972356</v>
      </c>
      <c r="E77" s="9">
        <f t="shared" si="11"/>
        <v>38.927506314901635</v>
      </c>
      <c r="F77" s="9">
        <f t="shared" si="12"/>
        <v>-1.9234584593804198</v>
      </c>
      <c r="G77" s="9">
        <f t="shared" si="13"/>
        <v>48.20697613581413</v>
      </c>
      <c r="H77" s="23">
        <f t="shared" si="21"/>
        <v>5.511822180859013</v>
      </c>
      <c r="I77" s="9">
        <f t="shared" si="14"/>
        <v>31.103554166427475</v>
      </c>
      <c r="J77" s="23">
        <f t="shared" si="15"/>
        <v>2.8312649990110486</v>
      </c>
      <c r="K77" s="44">
        <f t="shared" si="16"/>
        <v>4.417629680108284</v>
      </c>
      <c r="L77" s="46">
        <f t="shared" si="28"/>
        <v>1.0080000000000007</v>
      </c>
      <c r="M77" s="9">
        <f t="shared" si="22"/>
        <v>68.95577550444581</v>
      </c>
      <c r="N77" s="23">
        <f t="shared" si="23"/>
        <v>2.944015463316908</v>
      </c>
      <c r="O77" s="9">
        <f t="shared" si="4"/>
        <v>69.018593164942</v>
      </c>
      <c r="P77" s="9">
        <f t="shared" si="18"/>
        <v>-1.8789211400052546</v>
      </c>
      <c r="Q77" s="9">
        <f t="shared" si="24"/>
        <v>63.455065048185666</v>
      </c>
      <c r="R77" s="23">
        <f t="shared" si="25"/>
        <v>7.561946666296503</v>
      </c>
      <c r="S77" s="9">
        <f t="shared" si="20"/>
        <v>57.314380255452875</v>
      </c>
      <c r="T77" s="23">
        <f t="shared" si="26"/>
        <v>4.887833220043399</v>
      </c>
      <c r="U77" s="44">
        <f t="shared" si="27"/>
        <v>7.831848683360308</v>
      </c>
      <c r="V77" s="36"/>
    </row>
    <row r="78" spans="1:22" ht="13.5" customHeight="1">
      <c r="A78" s="37"/>
      <c r="B78" s="46">
        <f t="shared" si="19"/>
        <v>0.7680000000000005</v>
      </c>
      <c r="C78" s="9">
        <f t="shared" si="9"/>
        <v>39.47332707287833</v>
      </c>
      <c r="D78" s="23">
        <f t="shared" si="10"/>
        <v>1.5662419151498974</v>
      </c>
      <c r="E78" s="9">
        <f t="shared" si="11"/>
        <v>39.50438790741101</v>
      </c>
      <c r="F78" s="9">
        <f t="shared" si="12"/>
        <v>-2.0632824746980836</v>
      </c>
      <c r="G78" s="9">
        <f t="shared" si="13"/>
        <v>48.14492902866505</v>
      </c>
      <c r="H78" s="23">
        <f t="shared" si="21"/>
        <v>5.497642800204487</v>
      </c>
      <c r="I78" s="9">
        <f t="shared" si="14"/>
        <v>31.023539042614882</v>
      </c>
      <c r="J78" s="23">
        <f t="shared" si="15"/>
        <v>2.917053681223187</v>
      </c>
      <c r="K78" s="44">
        <f t="shared" si="16"/>
        <v>4.483295596373084</v>
      </c>
      <c r="L78" s="46">
        <f t="shared" si="28"/>
        <v>1.0240000000000007</v>
      </c>
      <c r="M78" s="9">
        <f t="shared" si="22"/>
        <v>69.97051067524964</v>
      </c>
      <c r="N78" s="23">
        <f t="shared" si="23"/>
        <v>2.9094712735471306</v>
      </c>
      <c r="O78" s="9">
        <f t="shared" si="4"/>
        <v>70.03097448448665</v>
      </c>
      <c r="P78" s="9">
        <f t="shared" si="18"/>
        <v>-2.0205577946590005</v>
      </c>
      <c r="Q78" s="9">
        <f t="shared" si="24"/>
        <v>63.339414125231094</v>
      </c>
      <c r="R78" s="23">
        <f t="shared" si="25"/>
        <v>7.53440752021076</v>
      </c>
      <c r="S78" s="9">
        <f aca="true" t="shared" si="29" ref="S78:S114">ymf/1000/2*(Q78^2)</f>
        <v>57.1056523762014</v>
      </c>
      <c r="T78" s="23">
        <f t="shared" si="26"/>
        <v>5.037628848192069</v>
      </c>
      <c r="U78" s="44">
        <f t="shared" si="27"/>
        <v>7.9471001217392</v>
      </c>
      <c r="V78" s="36"/>
    </row>
    <row r="79" spans="1:22" ht="13.5" customHeight="1">
      <c r="A79" s="37"/>
      <c r="B79" s="46">
        <f t="shared" si="19"/>
        <v>0.7800000000000005</v>
      </c>
      <c r="C79" s="9">
        <f t="shared" si="9"/>
        <v>40.050691656404965</v>
      </c>
      <c r="D79" s="23">
        <f t="shared" si="10"/>
        <v>1.544735085099954</v>
      </c>
      <c r="E79" s="9">
        <f t="shared" si="11"/>
        <v>40.08047041439964</v>
      </c>
      <c r="F79" s="9">
        <f t="shared" si="12"/>
        <v>-2.2032739478431207</v>
      </c>
      <c r="G79" s="9">
        <f t="shared" si="13"/>
        <v>48.08333934253598</v>
      </c>
      <c r="H79" s="23">
        <f aca="true" t="shared" si="30" ref="H79:H110">xda*(G79^2)/(2*G$6)</f>
        <v>5.483586012728401</v>
      </c>
      <c r="I79" s="9">
        <f t="shared" si="14"/>
        <v>30.944215719706044</v>
      </c>
      <c r="J79" s="23">
        <f t="shared" si="15"/>
        <v>3.004136338971862</v>
      </c>
      <c r="K79" s="44">
        <f t="shared" si="16"/>
        <v>4.548871424071816</v>
      </c>
      <c r="L79" s="46">
        <f t="shared" si="28"/>
        <v>1.0400000000000007</v>
      </c>
      <c r="M79" s="9">
        <f aca="true" t="shared" si="31" ref="M79:M114">M78+Q78*yca*COS(P78/rad)</f>
        <v>70.98331119134482</v>
      </c>
      <c r="N79" s="23">
        <f aca="true" t="shared" si="32" ref="N79:N114">N78+Q78*yca*SIN(P78/rad)-(9.81*(yca^2)/2)</f>
        <v>2.872483978420153</v>
      </c>
      <c r="O79" s="9">
        <f aca="true" t="shared" si="33" ref="O79:O114">(M79^2+N79^2)^0.5</f>
        <v>71.04140786818333</v>
      </c>
      <c r="P79" s="9">
        <f t="shared" si="18"/>
        <v>-2.162440231384921</v>
      </c>
      <c r="Q79" s="9">
        <f aca="true" t="shared" si="34" ref="Q79:Q114">SQRT(Q78^2-2*9.81*(N79-N78))-(R78*yca)</f>
        <v>63.2245919332059</v>
      </c>
      <c r="R79" s="23">
        <f aca="true" t="shared" si="35" ref="R79:R110">yda*(Q79^2)/(2*Q$6)</f>
        <v>7.507115412970062</v>
      </c>
      <c r="S79" s="9">
        <f t="shared" si="29"/>
        <v>56.89879688231942</v>
      </c>
      <c r="T79" s="23">
        <f aca="true" t="shared" si="36" ref="T79:T114">M79*TAN(yat/rad)-N79</f>
        <v>5.189647847776859</v>
      </c>
      <c r="U79" s="44">
        <f aca="true" t="shared" si="37" ref="U79:U114">M79*TAN(yat/rad)</f>
        <v>8.062131826197012</v>
      </c>
      <c r="V79" s="36"/>
    </row>
    <row r="80" spans="1:22" ht="13.5" customHeight="1">
      <c r="A80" s="37"/>
      <c r="B80" s="46">
        <f aca="true" t="shared" si="38" ref="B80:B114">B79+xca</f>
        <v>0.7920000000000005</v>
      </c>
      <c r="C80" s="9">
        <f aca="true" t="shared" si="39" ref="C80:C114">C79+G79*xca*COS(F79/rad)</f>
        <v>40.6272651646262</v>
      </c>
      <c r="D80" s="23">
        <f aca="true" t="shared" si="40" ref="D80:D114">D79+G79*xca*SIN(F79/rad)-(9.81*(xca^2)/2)</f>
        <v>1.5218460503675915</v>
      </c>
      <c r="E80" s="9">
        <f aca="true" t="shared" si="41" ref="E80:E114">(C80^2+D80^2)^0.5</f>
        <v>40.65575838866948</v>
      </c>
      <c r="F80" s="9">
        <f aca="true" t="shared" si="42" ref="F80:F114">ATAN(TAN(F79/rad)-9.81*(C80-C79)/(COS(F79/rad)^2*G79^2))*rad</f>
        <v>-2.343431124270883</v>
      </c>
      <c r="G80" s="9">
        <f aca="true" t="shared" si="43" ref="G80:G114">SQRT(G79^2-2*9.81*(D80-D79))-(H79*xca)</f>
        <v>48.02220592216889</v>
      </c>
      <c r="H80" s="23">
        <f t="shared" si="30"/>
        <v>5.469651154353141</v>
      </c>
      <c r="I80" s="9">
        <f aca="true" t="shared" si="44" ref="I80:I114">xmf/1000/2*(G80^2)</f>
        <v>30.865580450269817</v>
      </c>
      <c r="J80" s="23">
        <f aca="true" t="shared" si="45" ref="J80:J114">C80*TAN(xat/rad)-D80</f>
        <v>3.0925113527710804</v>
      </c>
      <c r="K80" s="44">
        <f aca="true" t="shared" si="46" ref="K80:K114">C80*TAN(xat/rad)</f>
        <v>4.614357403138672</v>
      </c>
      <c r="L80" s="46">
        <f aca="true" t="shared" si="47" ref="L80:L114">L79+yca</f>
        <v>1.0560000000000007</v>
      </c>
      <c r="M80" s="9">
        <f t="shared" si="31"/>
        <v>71.99418427268384</v>
      </c>
      <c r="N80" s="23">
        <f t="shared" si="32"/>
        <v>2.8330581025209374</v>
      </c>
      <c r="O80" s="9">
        <f t="shared" si="33"/>
        <v>72.04990483894768</v>
      </c>
      <c r="P80" s="9">
        <f aca="true" t="shared" si="48" ref="P80:P114">ATAN(TAN(P79/rad)-9.81*(M80-M79)/(COS(P79/rad)^2*Q79^2))*rad</f>
        <v>-2.3045665904030432</v>
      </c>
      <c r="Q80" s="9">
        <f t="shared" si="34"/>
        <v>63.110595154680354</v>
      </c>
      <c r="R80" s="23">
        <f t="shared" si="35"/>
        <v>7.480068485950605</v>
      </c>
      <c r="S80" s="9">
        <f t="shared" si="29"/>
        <v>56.693799686710555</v>
      </c>
      <c r="T80" s="23">
        <f t="shared" si="36"/>
        <v>5.343886514239484</v>
      </c>
      <c r="U80" s="44">
        <f t="shared" si="37"/>
        <v>8.176944616760421</v>
      </c>
      <c r="V80" s="36"/>
    </row>
    <row r="81" spans="1:22" ht="13.5" customHeight="1">
      <c r="A81" s="37"/>
      <c r="B81" s="46">
        <f t="shared" si="38"/>
        <v>0.8040000000000005</v>
      </c>
      <c r="C81" s="9">
        <f t="shared" si="39"/>
        <v>41.20304969684438</v>
      </c>
      <c r="D81" s="23">
        <f t="shared" si="40"/>
        <v>1.497576663224586</v>
      </c>
      <c r="E81" s="9">
        <f t="shared" si="41"/>
        <v>41.230256368143806</v>
      </c>
      <c r="F81" s="9">
        <f t="shared" si="42"/>
        <v>-2.483752238617043</v>
      </c>
      <c r="G81" s="9">
        <f t="shared" si="43"/>
        <v>47.96152761484651</v>
      </c>
      <c r="H81" s="23">
        <f t="shared" si="30"/>
        <v>5.455837565886731</v>
      </c>
      <c r="I81" s="9">
        <f t="shared" si="44"/>
        <v>30.78762951444504</v>
      </c>
      <c r="J81" s="23">
        <f t="shared" si="45"/>
        <v>3.1821771087833106</v>
      </c>
      <c r="K81" s="44">
        <f t="shared" si="46"/>
        <v>4.6797537720078966</v>
      </c>
      <c r="L81" s="46">
        <f t="shared" si="47"/>
        <v>1.0720000000000007</v>
      </c>
      <c r="M81" s="9">
        <f t="shared" si="31"/>
        <v>73.00313708685917</v>
      </c>
      <c r="N81" s="23">
        <f t="shared" si="32"/>
        <v>2.791198145814731</v>
      </c>
      <c r="O81" s="9">
        <f t="shared" si="33"/>
        <v>73.05647686284873</v>
      </c>
      <c r="P81" s="9">
        <f t="shared" si="48"/>
        <v>-2.446934995429816</v>
      </c>
      <c r="Q81" s="9">
        <f t="shared" si="34"/>
        <v>62.99742049427358</v>
      </c>
      <c r="R81" s="23">
        <f t="shared" si="35"/>
        <v>7.4532648991252906</v>
      </c>
      <c r="S81" s="9">
        <f t="shared" si="29"/>
        <v>56.49064684322872</v>
      </c>
      <c r="T81" s="23">
        <f t="shared" si="36"/>
        <v>5.500341161694434</v>
      </c>
      <c r="U81" s="44">
        <f t="shared" si="37"/>
        <v>8.291539307509165</v>
      </c>
      <c r="V81" s="36"/>
    </row>
    <row r="82" spans="1:22" ht="13.5" customHeight="1">
      <c r="A82" s="37"/>
      <c r="B82" s="46">
        <f t="shared" si="38"/>
        <v>0.8160000000000005</v>
      </c>
      <c r="C82" s="9">
        <f t="shared" si="39"/>
        <v>41.77804733923443</v>
      </c>
      <c r="D82" s="23">
        <f t="shared" si="40"/>
        <v>1.471928768867026</v>
      </c>
      <c r="E82" s="9">
        <f t="shared" si="41"/>
        <v>41.80396887593248</v>
      </c>
      <c r="F82" s="9">
        <f t="shared" si="42"/>
        <v>-2.624235514797197</v>
      </c>
      <c r="G82" s="9">
        <f t="shared" si="43"/>
        <v>47.9013032703009</v>
      </c>
      <c r="H82" s="23">
        <f t="shared" si="30"/>
        <v>5.442144592973453</v>
      </c>
      <c r="I82" s="9">
        <f t="shared" si="44"/>
        <v>30.710359219661843</v>
      </c>
      <c r="J82" s="23">
        <f t="shared" si="45"/>
        <v>3.2731319987557255</v>
      </c>
      <c r="K82" s="44">
        <f t="shared" si="46"/>
        <v>4.745060767622752</v>
      </c>
      <c r="L82" s="46">
        <f t="shared" si="47"/>
        <v>1.0880000000000007</v>
      </c>
      <c r="M82" s="9">
        <f t="shared" si="31"/>
        <v>74.01017674952178</v>
      </c>
      <c r="N82" s="23">
        <f t="shared" si="32"/>
        <v>2.74690858391849</v>
      </c>
      <c r="O82" s="9">
        <f t="shared" si="33"/>
        <v>74.06113534954659</v>
      </c>
      <c r="P82" s="9">
        <f t="shared" si="48"/>
        <v>-2.589543553753909</v>
      </c>
      <c r="Q82" s="9">
        <f t="shared" si="34"/>
        <v>62.885064678288245</v>
      </c>
      <c r="R82" s="23">
        <f t="shared" si="35"/>
        <v>7.426702830828256</v>
      </c>
      <c r="S82" s="9">
        <f t="shared" si="29"/>
        <v>56.28932454489344</v>
      </c>
      <c r="T82" s="23">
        <f t="shared" si="36"/>
        <v>5.659008122705085</v>
      </c>
      <c r="U82" s="44">
        <f t="shared" si="37"/>
        <v>8.405916706623575</v>
      </c>
      <c r="V82" s="36"/>
    </row>
    <row r="83" spans="1:22" ht="13.5" customHeight="1">
      <c r="A83" s="37"/>
      <c r="B83" s="46">
        <f t="shared" si="38"/>
        <v>0.8280000000000005</v>
      </c>
      <c r="C83" s="9">
        <f t="shared" si="39"/>
        <v>42.35226016492231</v>
      </c>
      <c r="D83" s="23">
        <f t="shared" si="40"/>
        <v>1.4449042054875634</v>
      </c>
      <c r="E83" s="9">
        <f t="shared" si="41"/>
        <v>42.37690042039768</v>
      </c>
      <c r="F83" s="9">
        <f t="shared" si="42"/>
        <v>-2.7648791661084218</v>
      </c>
      <c r="G83" s="9">
        <f t="shared" si="43"/>
        <v>47.84153174062305</v>
      </c>
      <c r="H83" s="23">
        <f t="shared" si="30"/>
        <v>5.428571586045013</v>
      </c>
      <c r="I83" s="9">
        <f t="shared" si="44"/>
        <v>30.633765900366072</v>
      </c>
      <c r="J83" s="23">
        <f t="shared" si="45"/>
        <v>3.365374419956863</v>
      </c>
      <c r="K83" s="44">
        <f t="shared" si="46"/>
        <v>4.810278625444426</v>
      </c>
      <c r="L83" s="46">
        <f t="shared" si="47"/>
        <v>1.1040000000000008</v>
      </c>
      <c r="M83" s="9">
        <f t="shared" si="31"/>
        <v>75.01531032479556</v>
      </c>
      <c r="N83" s="23">
        <f t="shared" si="32"/>
        <v>2.7001938683698414</v>
      </c>
      <c r="O83" s="9">
        <f t="shared" si="33"/>
        <v>75.06389165272583</v>
      </c>
      <c r="P83" s="9">
        <f t="shared" si="48"/>
        <v>-2.7323903563150442</v>
      </c>
      <c r="Q83" s="9">
        <f t="shared" si="34"/>
        <v>62.77352445434953</v>
      </c>
      <c r="R83" s="23">
        <f t="shared" si="35"/>
        <v>7.400380477522787</v>
      </c>
      <c r="S83" s="9">
        <f t="shared" si="29"/>
        <v>56.0898191221308</v>
      </c>
      <c r="T83" s="23">
        <f t="shared" si="36"/>
        <v>5.819883748061815</v>
      </c>
      <c r="U83" s="44">
        <f t="shared" si="37"/>
        <v>8.520077616431657</v>
      </c>
      <c r="V83" s="36"/>
    </row>
    <row r="84" spans="1:22" ht="13.5" customHeight="1">
      <c r="A84" s="37"/>
      <c r="B84" s="46">
        <f t="shared" si="38"/>
        <v>0.8400000000000005</v>
      </c>
      <c r="C84" s="9">
        <f t="shared" si="39"/>
        <v>42.9256902340629</v>
      </c>
      <c r="D84" s="23">
        <f t="shared" si="40"/>
        <v>1.4165048043471948</v>
      </c>
      <c r="E84" s="9">
        <f t="shared" si="41"/>
        <v>42.9490554952197</v>
      </c>
      <c r="F84" s="9">
        <f t="shared" si="42"/>
        <v>-2.9056813953327385</v>
      </c>
      <c r="G84" s="9">
        <f t="shared" si="43"/>
        <v>47.782211880173435</v>
      </c>
      <c r="H84" s="23">
        <f t="shared" si="30"/>
        <v>5.415117900272201</v>
      </c>
      <c r="I84" s="9">
        <f t="shared" si="44"/>
        <v>30.557845917746544</v>
      </c>
      <c r="J84" s="23">
        <f t="shared" si="45"/>
        <v>3.4589027751136845</v>
      </c>
      <c r="K84" s="44">
        <f t="shared" si="46"/>
        <v>4.875407579460879</v>
      </c>
      <c r="L84" s="46">
        <f t="shared" si="47"/>
        <v>1.1200000000000008</v>
      </c>
      <c r="M84" s="9">
        <f t="shared" si="31"/>
        <v>76.01854482568791</v>
      </c>
      <c r="N84" s="23">
        <f t="shared" si="32"/>
        <v>2.651058426893614</v>
      </c>
      <c r="O84" s="9">
        <f t="shared" si="33"/>
        <v>76.06475707052462</v>
      </c>
      <c r="P84" s="9">
        <f t="shared" si="48"/>
        <v>-2.87547347778588</v>
      </c>
      <c r="Q84" s="9">
        <f t="shared" si="34"/>
        <v>62.66279659104827</v>
      </c>
      <c r="R84" s="23">
        <f t="shared" si="35"/>
        <v>7.3742960535725</v>
      </c>
      <c r="S84" s="9">
        <f t="shared" si="29"/>
        <v>55.892117041039114</v>
      </c>
      <c r="T84" s="23">
        <f t="shared" si="36"/>
        <v>5.982964406562086</v>
      </c>
      <c r="U84" s="44">
        <f t="shared" si="37"/>
        <v>8.6340228334557</v>
      </c>
      <c r="V84" s="36"/>
    </row>
    <row r="85" spans="1:22" ht="13.5" customHeight="1">
      <c r="A85" s="37"/>
      <c r="B85" s="46">
        <f t="shared" si="38"/>
        <v>0.8520000000000005</v>
      </c>
      <c r="C85" s="9">
        <f t="shared" si="39"/>
        <v>43.49833959391741</v>
      </c>
      <c r="D85" s="23">
        <f t="shared" si="40"/>
        <v>1.3867323898465773</v>
      </c>
      <c r="E85" s="9">
        <f t="shared" si="41"/>
        <v>43.52043857946301</v>
      </c>
      <c r="F85" s="9">
        <f t="shared" si="42"/>
        <v>-3.0466403948425063</v>
      </c>
      <c r="G85" s="9">
        <f t="shared" si="43"/>
        <v>47.723342545493665</v>
      </c>
      <c r="H85" s="23">
        <f t="shared" si="30"/>
        <v>5.401782895517101</v>
      </c>
      <c r="I85" s="9">
        <f t="shared" si="44"/>
        <v>30.482595659465325</v>
      </c>
      <c r="J85" s="23">
        <f t="shared" si="45"/>
        <v>3.55371547234906</v>
      </c>
      <c r="K85" s="44">
        <f t="shared" si="46"/>
        <v>4.940447862195637</v>
      </c>
      <c r="L85" s="46">
        <f t="shared" si="47"/>
        <v>1.1360000000000008</v>
      </c>
      <c r="M85" s="9">
        <f t="shared" si="31"/>
        <v>77.01988721449625</v>
      </c>
      <c r="N85" s="23">
        <f t="shared" si="32"/>
        <v>2.5995066636659585</v>
      </c>
      <c r="O85" s="9">
        <f t="shared" si="33"/>
        <v>77.06374284595945</v>
      </c>
      <c r="P85" s="9">
        <f t="shared" si="48"/>
        <v>-3.0187909766569336</v>
      </c>
      <c r="Q85" s="9">
        <f t="shared" si="34"/>
        <v>62.55287787758833</v>
      </c>
      <c r="R85" s="23">
        <f t="shared" si="35"/>
        <v>7.348447791015773</v>
      </c>
      <c r="S85" s="9">
        <f t="shared" si="29"/>
        <v>55.69620490167929</v>
      </c>
      <c r="T85" s="23">
        <f t="shared" si="36"/>
        <v>6.14824648479252</v>
      </c>
      <c r="U85" s="44">
        <f t="shared" si="37"/>
        <v>8.747753148458479</v>
      </c>
      <c r="V85" s="36"/>
    </row>
    <row r="86" spans="1:22" ht="13.5" customHeight="1">
      <c r="A86" s="37"/>
      <c r="B86" s="46">
        <f t="shared" si="38"/>
        <v>0.8640000000000005</v>
      </c>
      <c r="C86" s="9">
        <f t="shared" si="39"/>
        <v>44.070210278930325</v>
      </c>
      <c r="D86" s="23">
        <f t="shared" si="40"/>
        <v>1.35558877959688</v>
      </c>
      <c r="E86" s="9">
        <f t="shared" si="41"/>
        <v>44.09105413764231</v>
      </c>
      <c r="F86" s="9">
        <f t="shared" si="42"/>
        <v>-3.187754346707718</v>
      </c>
      <c r="G86" s="9">
        <f t="shared" si="43"/>
        <v>47.66492259521905</v>
      </c>
      <c r="H86" s="23">
        <f t="shared" si="30"/>
        <v>5.388565936285789</v>
      </c>
      <c r="I86" s="9">
        <f t="shared" si="44"/>
        <v>30.4080115393908</v>
      </c>
      <c r="J86" s="23">
        <f t="shared" si="45"/>
        <v>3.6498109251196493</v>
      </c>
      <c r="K86" s="44">
        <f t="shared" si="46"/>
        <v>5.005399704716529</v>
      </c>
      <c r="L86" s="46">
        <f t="shared" si="47"/>
        <v>1.1520000000000008</v>
      </c>
      <c r="M86" s="9">
        <f t="shared" si="31"/>
        <v>78.01934440321084</v>
      </c>
      <c r="N86" s="23">
        <f t="shared" si="32"/>
        <v>2.5455429595760886</v>
      </c>
      <c r="O86" s="9">
        <f t="shared" si="33"/>
        <v>78.06086016734554</v>
      </c>
      <c r="P86" s="9">
        <f t="shared" si="48"/>
        <v>-3.1623408953245686</v>
      </c>
      <c r="Q86" s="9">
        <f t="shared" si="34"/>
        <v>62.44376512343798</v>
      </c>
      <c r="R86" s="23">
        <f t="shared" si="35"/>
        <v>7.322833939343341</v>
      </c>
      <c r="S86" s="9">
        <f t="shared" si="29"/>
        <v>55.50206943638917</v>
      </c>
      <c r="T86" s="23">
        <f t="shared" si="36"/>
        <v>6.315726386912889</v>
      </c>
      <c r="U86" s="44">
        <f t="shared" si="37"/>
        <v>8.861269346488978</v>
      </c>
      <c r="V86" s="36"/>
    </row>
    <row r="87" spans="1:22" ht="13.5" customHeight="1">
      <c r="A87" s="37"/>
      <c r="B87" s="46">
        <f t="shared" si="38"/>
        <v>0.8760000000000006</v>
      </c>
      <c r="C87" s="9">
        <f t="shared" si="39"/>
        <v>44.64130431080585</v>
      </c>
      <c r="D87" s="23">
        <f t="shared" si="40"/>
        <v>1.3230757844901766</v>
      </c>
      <c r="E87" s="9">
        <f t="shared" si="41"/>
        <v>44.6609066197886</v>
      </c>
      <c r="F87" s="9">
        <f t="shared" si="42"/>
        <v>-3.329021422805196</v>
      </c>
      <c r="G87" s="9">
        <f t="shared" si="43"/>
        <v>47.60695088999229</v>
      </c>
      <c r="H87" s="23">
        <f t="shared" si="30"/>
        <v>5.375466391681542</v>
      </c>
      <c r="I87" s="9">
        <f t="shared" si="44"/>
        <v>30.334089997333685</v>
      </c>
      <c r="J87" s="23">
        <f t="shared" si="45"/>
        <v>3.747187552154194</v>
      </c>
      <c r="K87" s="44">
        <f t="shared" si="46"/>
        <v>5.070263336644371</v>
      </c>
      <c r="L87" s="46">
        <f t="shared" si="47"/>
        <v>1.1680000000000008</v>
      </c>
      <c r="M87" s="9">
        <f t="shared" si="31"/>
        <v>79.01692325391366</v>
      </c>
      <c r="N87" s="23">
        <f t="shared" si="32"/>
        <v>2.4891716724856674</v>
      </c>
      <c r="O87" s="9">
        <f t="shared" si="33"/>
        <v>79.05612016871298</v>
      </c>
      <c r="P87" s="9">
        <f t="shared" si="48"/>
        <v>-3.306121260182026</v>
      </c>
      <c r="Q87" s="9">
        <f t="shared" si="34"/>
        <v>62.33545515798554</v>
      </c>
      <c r="R87" s="23">
        <f t="shared" si="35"/>
        <v>7.297452765279064</v>
      </c>
      <c r="S87" s="9">
        <f t="shared" si="29"/>
        <v>55.30969750812188</v>
      </c>
      <c r="T87" s="23">
        <f t="shared" si="36"/>
        <v>6.485400534442045</v>
      </c>
      <c r="U87" s="44">
        <f t="shared" si="37"/>
        <v>8.974572206927713</v>
      </c>
      <c r="V87" s="36"/>
    </row>
    <row r="88" spans="1:22" ht="13.5" customHeight="1">
      <c r="A88" s="37"/>
      <c r="B88" s="46">
        <f t="shared" si="38"/>
        <v>0.8880000000000006</v>
      </c>
      <c r="C88" s="9">
        <f t="shared" si="39"/>
        <v>45.21162369858382</v>
      </c>
      <c r="D88" s="23">
        <f t="shared" si="40"/>
        <v>1.2891952087693814</v>
      </c>
      <c r="E88" s="9">
        <f t="shared" si="41"/>
        <v>45.23000046151515</v>
      </c>
      <c r="F88" s="9">
        <f t="shared" si="42"/>
        <v>-3.470439784929659</v>
      </c>
      <c r="G88" s="9">
        <f t="shared" si="43"/>
        <v>47.54942629237804</v>
      </c>
      <c r="H88" s="23">
        <f t="shared" si="30"/>
        <v>5.362483635358552</v>
      </c>
      <c r="I88" s="9">
        <f t="shared" si="44"/>
        <v>30.260827498785748</v>
      </c>
      <c r="J88" s="23">
        <f t="shared" si="45"/>
        <v>3.845843777392205</v>
      </c>
      <c r="K88" s="44">
        <f t="shared" si="46"/>
        <v>5.135038986161587</v>
      </c>
      <c r="L88" s="46">
        <f t="shared" si="47"/>
        <v>1.1840000000000008</v>
      </c>
      <c r="M88" s="9">
        <f t="shared" si="31"/>
        <v>80.01263057917362</v>
      </c>
      <c r="N88" s="23">
        <f t="shared" si="32"/>
        <v>2.4303971374858633</v>
      </c>
      <c r="O88" s="9">
        <f t="shared" si="33"/>
        <v>80.04953393021853</v>
      </c>
      <c r="P88" s="9">
        <f t="shared" si="48"/>
        <v>-3.4501300817135174</v>
      </c>
      <c r="Q88" s="9">
        <f t="shared" si="34"/>
        <v>62.227944830198965</v>
      </c>
      <c r="R88" s="23">
        <f t="shared" si="35"/>
        <v>7.272302552563731</v>
      </c>
      <c r="S88" s="9">
        <f t="shared" si="29"/>
        <v>55.11907610880724</v>
      </c>
      <c r="T88" s="23">
        <f t="shared" si="36"/>
        <v>6.657265366045744</v>
      </c>
      <c r="U88" s="44">
        <f t="shared" si="37"/>
        <v>9.087662503531607</v>
      </c>
      <c r="V88" s="36"/>
    </row>
    <row r="89" spans="1:22" ht="13.5" customHeight="1">
      <c r="A89" s="37"/>
      <c r="B89" s="46">
        <f t="shared" si="38"/>
        <v>0.9000000000000006</v>
      </c>
      <c r="C89" s="9">
        <f t="shared" si="39"/>
        <v>45.781170438715215</v>
      </c>
      <c r="D89" s="23">
        <f t="shared" si="40"/>
        <v>1.2539488500977305</v>
      </c>
      <c r="E89" s="9">
        <f t="shared" si="41"/>
        <v>45.79834008408332</v>
      </c>
      <c r="F89" s="9">
        <f t="shared" si="42"/>
        <v>-3.6120075849066646</v>
      </c>
      <c r="G89" s="9">
        <f t="shared" si="43"/>
        <v>47.49234766677864</v>
      </c>
      <c r="H89" s="23">
        <f t="shared" si="30"/>
        <v>5.349617045476127</v>
      </c>
      <c r="I89" s="9">
        <f t="shared" si="44"/>
        <v>30.18822053466144</v>
      </c>
      <c r="J89" s="23">
        <f t="shared" si="45"/>
        <v>3.945778029923053</v>
      </c>
      <c r="K89" s="44">
        <f t="shared" si="46"/>
        <v>5.199726880020783</v>
      </c>
      <c r="L89" s="46">
        <f t="shared" si="47"/>
        <v>1.2000000000000008</v>
      </c>
      <c r="M89" s="9">
        <f t="shared" si="31"/>
        <v>81.00647314243795</v>
      </c>
      <c r="N89" s="23">
        <f t="shared" si="32"/>
        <v>2.3692236671521036</v>
      </c>
      <c r="O89" s="9">
        <f t="shared" si="33"/>
        <v>81.04111247855322</v>
      </c>
      <c r="P89" s="9">
        <f t="shared" si="48"/>
        <v>-3.594365354591375</v>
      </c>
      <c r="Q89" s="9">
        <f t="shared" si="34"/>
        <v>62.12123100828946</v>
      </c>
      <c r="R89" s="23">
        <f t="shared" si="35"/>
        <v>7.247381601741946</v>
      </c>
      <c r="S89" s="9">
        <f t="shared" si="29"/>
        <v>54.93019235773647</v>
      </c>
      <c r="T89" s="23">
        <f t="shared" si="36"/>
        <v>6.831317337326352</v>
      </c>
      <c r="U89" s="44">
        <f t="shared" si="37"/>
        <v>9.200541004478456</v>
      </c>
      <c r="V89" s="36"/>
    </row>
    <row r="90" spans="1:22" ht="13.5" customHeight="1">
      <c r="A90" s="37"/>
      <c r="B90" s="46">
        <f t="shared" si="38"/>
        <v>0.9120000000000006</v>
      </c>
      <c r="C90" s="9">
        <f t="shared" si="39"/>
        <v>46.34994651513715</v>
      </c>
      <c r="D90" s="23">
        <f t="shared" si="40"/>
        <v>1.2173384996278125</v>
      </c>
      <c r="E90" s="9">
        <f t="shared" si="41"/>
        <v>46.365929894468316</v>
      </c>
      <c r="F90" s="9">
        <f t="shared" si="42"/>
        <v>-3.7537229647074124</v>
      </c>
      <c r="G90" s="9">
        <f t="shared" si="43"/>
        <v>47.435713879350764</v>
      </c>
      <c r="H90" s="23">
        <f t="shared" si="30"/>
        <v>5.336866004653379</v>
      </c>
      <c r="I90" s="9">
        <f t="shared" si="44"/>
        <v>30.116265621042135</v>
      </c>
      <c r="J90" s="23">
        <f t="shared" si="45"/>
        <v>4.046988743925461</v>
      </c>
      <c r="K90" s="44">
        <f t="shared" si="46"/>
        <v>5.264327243553273</v>
      </c>
      <c r="L90" s="46">
        <f t="shared" si="47"/>
        <v>1.2160000000000009</v>
      </c>
      <c r="M90" s="9">
        <f t="shared" si="31"/>
        <v>81.99845765842008</v>
      </c>
      <c r="N90" s="23">
        <f t="shared" si="32"/>
        <v>2.3056555517965474</v>
      </c>
      <c r="O90" s="9">
        <f t="shared" si="33"/>
        <v>82.0308667873456</v>
      </c>
      <c r="P90" s="9">
        <f t="shared" si="48"/>
        <v>-3.7388250577762605</v>
      </c>
      <c r="Q90" s="9">
        <f t="shared" si="34"/>
        <v>62.015310579379204</v>
      </c>
      <c r="R90" s="23">
        <f t="shared" si="35"/>
        <v>7.222688229951968</v>
      </c>
      <c r="S90" s="9">
        <f t="shared" si="29"/>
        <v>54.74303349996934</v>
      </c>
      <c r="T90" s="23">
        <f t="shared" si="36"/>
        <v>7.007552920614417</v>
      </c>
      <c r="U90" s="44">
        <f t="shared" si="37"/>
        <v>9.313208472410965</v>
      </c>
      <c r="V90" s="36"/>
    </row>
    <row r="91" spans="1:22" ht="13.5" customHeight="1">
      <c r="A91" s="37"/>
      <c r="B91" s="46">
        <f t="shared" si="38"/>
        <v>0.9240000000000006</v>
      </c>
      <c r="C91" s="9">
        <f t="shared" si="39"/>
        <v>46.9179538993474</v>
      </c>
      <c r="D91" s="23">
        <f t="shared" si="40"/>
        <v>1.1793659420701512</v>
      </c>
      <c r="E91" s="9">
        <f t="shared" si="41"/>
        <v>46.9327742854245</v>
      </c>
      <c r="F91" s="9">
        <f t="shared" si="42"/>
        <v>-3.895584056565374</v>
      </c>
      <c r="G91" s="9">
        <f t="shared" si="43"/>
        <v>47.37952379792309</v>
      </c>
      <c r="H91" s="23">
        <f t="shared" si="30"/>
        <v>5.324229899924395</v>
      </c>
      <c r="I91" s="9">
        <f t="shared" si="44"/>
        <v>30.044959298923203</v>
      </c>
      <c r="J91" s="23">
        <f t="shared" si="45"/>
        <v>4.149474358607383</v>
      </c>
      <c r="K91" s="44">
        <f t="shared" si="46"/>
        <v>5.328840300677534</v>
      </c>
      <c r="L91" s="46">
        <f t="shared" si="47"/>
        <v>1.2320000000000009</v>
      </c>
      <c r="M91" s="9">
        <f t="shared" si="31"/>
        <v>82.98859079348371</v>
      </c>
      <c r="N91" s="23">
        <f t="shared" si="32"/>
        <v>2.239697059718303</v>
      </c>
      <c r="O91" s="9">
        <f t="shared" si="33"/>
        <v>83.01880777756087</v>
      </c>
      <c r="P91" s="9">
        <f t="shared" si="48"/>
        <v>-3.883507154620425</v>
      </c>
      <c r="Q91" s="9">
        <f t="shared" si="34"/>
        <v>61.91018044917287</v>
      </c>
      <c r="R91" s="23">
        <f t="shared" si="35"/>
        <v>7.198220770718504</v>
      </c>
      <c r="S91" s="9">
        <f t="shared" si="29"/>
        <v>54.55758690476367</v>
      </c>
      <c r="T91" s="23">
        <f t="shared" si="36"/>
        <v>7.1859686047620865</v>
      </c>
      <c r="U91" s="44">
        <f t="shared" si="37"/>
        <v>9.42566566448039</v>
      </c>
      <c r="V91" s="36"/>
    </row>
    <row r="92" spans="1:22" ht="13.5" customHeight="1">
      <c r="A92" s="37"/>
      <c r="B92" s="46">
        <f t="shared" si="38"/>
        <v>0.9360000000000006</v>
      </c>
      <c r="C92" s="9">
        <f t="shared" si="39"/>
        <v>47.48519455047852</v>
      </c>
      <c r="D92" s="23">
        <f t="shared" si="40"/>
        <v>1.1400329557613431</v>
      </c>
      <c r="E92" s="9">
        <f t="shared" si="41"/>
        <v>47.498877635550684</v>
      </c>
      <c r="F92" s="9">
        <f t="shared" si="42"/>
        <v>-4.0375889830947616</v>
      </c>
      <c r="G92" s="9">
        <f t="shared" si="43"/>
        <v>47.32377629191506</v>
      </c>
      <c r="H92" s="23">
        <f t="shared" si="30"/>
        <v>5.311708122693885</v>
      </c>
      <c r="I92" s="9">
        <f t="shared" si="44"/>
        <v>29.974298133963703</v>
      </c>
      <c r="J92" s="23">
        <f t="shared" si="45"/>
        <v>4.2532333181462825</v>
      </c>
      <c r="K92" s="44">
        <f t="shared" si="46"/>
        <v>5.393266273907626</v>
      </c>
      <c r="L92" s="46">
        <f t="shared" si="47"/>
        <v>1.2480000000000009</v>
      </c>
      <c r="M92" s="9">
        <f t="shared" si="31"/>
        <v>83.97687916602347</v>
      </c>
      <c r="N92" s="23">
        <f t="shared" si="32"/>
        <v>2.1713524374514153</v>
      </c>
      <c r="O92" s="9">
        <f t="shared" si="33"/>
        <v>84.00494631789566</v>
      </c>
      <c r="P92" s="9">
        <f t="shared" si="48"/>
        <v>-4.028409592974024</v>
      </c>
      <c r="Q92" s="9">
        <f t="shared" si="34"/>
        <v>61.80583754163324</v>
      </c>
      <c r="R92" s="23">
        <f t="shared" si="35"/>
        <v>7.1739775737483855</v>
      </c>
      <c r="S92" s="9">
        <f t="shared" si="29"/>
        <v>54.37384006402673</v>
      </c>
      <c r="T92" s="23">
        <f t="shared" si="36"/>
        <v>7.366560894938339</v>
      </c>
      <c r="U92" s="44">
        <f t="shared" si="37"/>
        <v>9.537913332389754</v>
      </c>
      <c r="V92" s="36"/>
    </row>
    <row r="93" spans="1:22" ht="13.5" customHeight="1">
      <c r="A93" s="37"/>
      <c r="B93" s="46">
        <f t="shared" si="38"/>
        <v>0.9480000000000006</v>
      </c>
      <c r="C93" s="9">
        <f t="shared" si="39"/>
        <v>48.0516704153714</v>
      </c>
      <c r="D93" s="23">
        <f t="shared" si="40"/>
        <v>1.0993413127317524</v>
      </c>
      <c r="E93" s="9">
        <f t="shared" si="41"/>
        <v>48.064244309354926</v>
      </c>
      <c r="F93" s="9">
        <f t="shared" si="42"/>
        <v>-4.179735857410803</v>
      </c>
      <c r="G93" s="9">
        <f t="shared" si="43"/>
        <v>47.26847023225657</v>
      </c>
      <c r="H93" s="23">
        <f t="shared" si="30"/>
        <v>5.299300068693294</v>
      </c>
      <c r="I93" s="9">
        <f t="shared" si="44"/>
        <v>29.904278716238732</v>
      </c>
      <c r="J93" s="23">
        <f t="shared" si="45"/>
        <v>4.3582640716298</v>
      </c>
      <c r="K93" s="44">
        <f t="shared" si="46"/>
        <v>5.457605384361552</v>
      </c>
      <c r="L93" s="46">
        <f t="shared" si="47"/>
        <v>1.264000000000001</v>
      </c>
      <c r="M93" s="9">
        <f t="shared" si="31"/>
        <v>84.96332934684199</v>
      </c>
      <c r="N93" s="23">
        <f t="shared" si="32"/>
        <v>2.1006259100106472</v>
      </c>
      <c r="O93" s="9">
        <f t="shared" si="33"/>
        <v>84.98929322516895</v>
      </c>
      <c r="P93" s="9">
        <f t="shared" si="48"/>
        <v>-4.173530305294493</v>
      </c>
      <c r="Q93" s="9">
        <f t="shared" si="34"/>
        <v>61.7022787986606</v>
      </c>
      <c r="R93" s="23">
        <f t="shared" si="35"/>
        <v>7.149957004729107</v>
      </c>
      <c r="S93" s="9">
        <f t="shared" si="29"/>
        <v>54.191780590788255</v>
      </c>
      <c r="T93" s="23">
        <f t="shared" si="36"/>
        <v>7.549326312426047</v>
      </c>
      <c r="U93" s="44">
        <f t="shared" si="37"/>
        <v>9.649952222436694</v>
      </c>
      <c r="V93" s="36"/>
    </row>
    <row r="94" spans="1:22" ht="13.5" customHeight="1">
      <c r="A94" s="37"/>
      <c r="B94" s="46">
        <f t="shared" si="38"/>
        <v>0.9600000000000006</v>
      </c>
      <c r="C94" s="9">
        <f t="shared" si="39"/>
        <v>48.61738342864849</v>
      </c>
      <c r="D94" s="23">
        <f t="shared" si="40"/>
        <v>1.0572927787727664</v>
      </c>
      <c r="E94" s="9">
        <f t="shared" si="41"/>
        <v>48.62887865731915</v>
      </c>
      <c r="F94" s="9">
        <f t="shared" si="42"/>
        <v>-4.32202278325181</v>
      </c>
      <c r="G94" s="9">
        <f t="shared" si="43"/>
        <v>47.21360449130873</v>
      </c>
      <c r="H94" s="23">
        <f t="shared" si="30"/>
        <v>5.287005137937389</v>
      </c>
      <c r="I94" s="9">
        <f t="shared" si="44"/>
        <v>29.834897659994436</v>
      </c>
      <c r="J94" s="23">
        <f t="shared" si="45"/>
        <v>4.464565072996804</v>
      </c>
      <c r="K94" s="44">
        <f t="shared" si="46"/>
        <v>5.52185785176957</v>
      </c>
      <c r="L94" s="46">
        <f t="shared" si="47"/>
        <v>1.280000000000001</v>
      </c>
      <c r="M94" s="9">
        <f t="shared" si="31"/>
        <v>85.94794785952345</v>
      </c>
      <c r="N94" s="23">
        <f t="shared" si="32"/>
        <v>2.0275216811350734</v>
      </c>
      <c r="O94" s="9">
        <f t="shared" si="33"/>
        <v>85.97185926470844</v>
      </c>
      <c r="P94" s="9">
        <f t="shared" si="48"/>
        <v>-4.318867208758952</v>
      </c>
      <c r="Q94" s="9">
        <f t="shared" si="34"/>
        <v>61.599501179776084</v>
      </c>
      <c r="R94" s="23">
        <f t="shared" si="35"/>
        <v>7.126157445130142</v>
      </c>
      <c r="S94" s="9">
        <f t="shared" si="29"/>
        <v>54.011396217694625</v>
      </c>
      <c r="T94" s="23">
        <f t="shared" si="36"/>
        <v>7.734261394420795</v>
      </c>
      <c r="U94" s="44">
        <f t="shared" si="37"/>
        <v>9.761783075555869</v>
      </c>
      <c r="V94" s="36"/>
    </row>
    <row r="95" spans="1:22" ht="13.5" customHeight="1">
      <c r="A95" s="37"/>
      <c r="B95" s="46">
        <f t="shared" si="38"/>
        <v>0.9720000000000006</v>
      </c>
      <c r="C95" s="9">
        <f t="shared" si="39"/>
        <v>49.18233551278647</v>
      </c>
      <c r="D95" s="23">
        <f t="shared" si="40"/>
        <v>1.0138891135036139</v>
      </c>
      <c r="E95" s="9">
        <f t="shared" si="41"/>
        <v>49.19278501596325</v>
      </c>
      <c r="F95" s="9">
        <f t="shared" si="42"/>
        <v>-4.464447855103022</v>
      </c>
      <c r="G95" s="9">
        <f t="shared" si="43"/>
        <v>47.15917794278568</v>
      </c>
      <c r="H95" s="23">
        <f t="shared" si="30"/>
        <v>5.274822734681302</v>
      </c>
      <c r="I95" s="9">
        <f t="shared" si="44"/>
        <v>29.76615160340559</v>
      </c>
      <c r="J95" s="23">
        <f t="shared" si="45"/>
        <v>4.572134780978832</v>
      </c>
      <c r="K95" s="44">
        <f t="shared" si="46"/>
        <v>5.586023894482445</v>
      </c>
      <c r="L95" s="46">
        <f t="shared" si="47"/>
        <v>1.296000000000001</v>
      </c>
      <c r="M95" s="9">
        <f t="shared" si="31"/>
        <v>86.93074118080379</v>
      </c>
      <c r="N95" s="23">
        <f t="shared" si="32"/>
        <v>1.952043933529514</v>
      </c>
      <c r="O95" s="9">
        <f t="shared" si="33"/>
        <v>86.95265515073318</v>
      </c>
      <c r="P95" s="9">
        <f t="shared" si="48"/>
        <v>-4.464418205379666</v>
      </c>
      <c r="Q95" s="9">
        <f t="shared" si="34"/>
        <v>61.49750166180882</v>
      </c>
      <c r="R95" s="23">
        <f t="shared" si="35"/>
        <v>7.102577292007045</v>
      </c>
      <c r="S95" s="9">
        <f t="shared" si="29"/>
        <v>53.832674795524</v>
      </c>
      <c r="T95" s="23">
        <f t="shared" si="36"/>
        <v>7.921362693831505</v>
      </c>
      <c r="U95" s="44">
        <f t="shared" si="37"/>
        <v>9.87340662736102</v>
      </c>
      <c r="V95" s="36"/>
    </row>
    <row r="96" spans="1:22" ht="13.5" customHeight="1">
      <c r="A96" s="37"/>
      <c r="B96" s="46">
        <f t="shared" si="38"/>
        <v>0.9840000000000007</v>
      </c>
      <c r="C96" s="9">
        <f t="shared" si="39"/>
        <v>49.74652857818859</v>
      </c>
      <c r="D96" s="23">
        <f t="shared" si="40"/>
        <v>0.9691320704377494</v>
      </c>
      <c r="E96" s="9">
        <f t="shared" si="41"/>
        <v>49.755967707909015</v>
      </c>
      <c r="F96" s="9">
        <f t="shared" si="42"/>
        <v>-4.607009158322221</v>
      </c>
      <c r="G96" s="9">
        <f t="shared" si="43"/>
        <v>47.10518946167734</v>
      </c>
      <c r="H96" s="23">
        <f t="shared" si="30"/>
        <v>5.262752267378011</v>
      </c>
      <c r="I96" s="9">
        <f t="shared" si="44"/>
        <v>29.698037208335702</v>
      </c>
      <c r="J96" s="23">
        <f t="shared" si="45"/>
        <v>4.680971659041922</v>
      </c>
      <c r="K96" s="44">
        <f t="shared" si="46"/>
        <v>5.650103729479671</v>
      </c>
      <c r="L96" s="46">
        <f t="shared" si="47"/>
        <v>1.312000000000001</v>
      </c>
      <c r="M96" s="9">
        <f t="shared" si="31"/>
        <v>87.91171574093741</v>
      </c>
      <c r="N96" s="23">
        <f t="shared" si="32"/>
        <v>1.8741968291038318</v>
      </c>
      <c r="O96" s="9">
        <f t="shared" si="33"/>
        <v>87.93169154673193</v>
      </c>
      <c r="P96" s="9">
        <f t="shared" si="48"/>
        <v>-4.610181182122532</v>
      </c>
      <c r="Q96" s="9">
        <f t="shared" si="34"/>
        <v>61.396277238586904</v>
      </c>
      <c r="R96" s="23">
        <f t="shared" si="35"/>
        <v>7.079214957808243</v>
      </c>
      <c r="S96" s="9">
        <f t="shared" si="29"/>
        <v>53.65560429172198</v>
      </c>
      <c r="T96" s="23">
        <f t="shared" si="36"/>
        <v>8.110626779082775</v>
      </c>
      <c r="U96" s="44">
        <f t="shared" si="37"/>
        <v>9.984823608186607</v>
      </c>
      <c r="V96" s="36"/>
    </row>
    <row r="97" spans="1:22" ht="13.5" customHeight="1">
      <c r="A97" s="37"/>
      <c r="B97" s="46">
        <f t="shared" si="38"/>
        <v>0.9960000000000007</v>
      </c>
      <c r="C97" s="9">
        <f t="shared" si="39"/>
        <v>50.30996452325644</v>
      </c>
      <c r="D97" s="23">
        <f t="shared" si="40"/>
        <v>0.9230233970488061</v>
      </c>
      <c r="E97" s="9">
        <f t="shared" si="41"/>
        <v>50.31843104194348</v>
      </c>
      <c r="F97" s="9">
        <f t="shared" si="42"/>
        <v>-4.74970476926708</v>
      </c>
      <c r="G97" s="9">
        <f t="shared" si="43"/>
        <v>47.05163792417327</v>
      </c>
      <c r="H97" s="23">
        <f t="shared" si="30"/>
        <v>5.250793148636303</v>
      </c>
      <c r="I97" s="9">
        <f t="shared" si="44"/>
        <v>29.630551160099753</v>
      </c>
      <c r="J97" s="23">
        <f t="shared" si="45"/>
        <v>4.79107417532881</v>
      </c>
      <c r="K97" s="44">
        <f t="shared" si="46"/>
        <v>5.714097572377616</v>
      </c>
      <c r="L97" s="46">
        <f t="shared" si="47"/>
        <v>1.328000000000001</v>
      </c>
      <c r="M97" s="9">
        <f t="shared" si="31"/>
        <v>88.89087792406062</v>
      </c>
      <c r="N97" s="23">
        <f t="shared" si="32"/>
        <v>1.7939845092101077</v>
      </c>
      <c r="O97" s="9">
        <f t="shared" si="33"/>
        <v>88.90897906583751</v>
      </c>
      <c r="P97" s="9">
        <f t="shared" si="48"/>
        <v>-4.756154011028596</v>
      </c>
      <c r="Q97" s="9">
        <f t="shared" si="34"/>
        <v>61.29582492063215</v>
      </c>
      <c r="R97" s="23">
        <f t="shared" si="35"/>
        <v>7.056068870184508</v>
      </c>
      <c r="S97" s="9">
        <f t="shared" si="29"/>
        <v>53.48017278895756</v>
      </c>
      <c r="T97" s="23">
        <f t="shared" si="36"/>
        <v>8.302050233919001</v>
      </c>
      <c r="U97" s="44">
        <f t="shared" si="37"/>
        <v>10.096034743129108</v>
      </c>
      <c r="V97" s="36"/>
    </row>
    <row r="98" spans="1:22" ht="13.5" customHeight="1">
      <c r="A98" s="37"/>
      <c r="B98" s="46">
        <f t="shared" si="38"/>
        <v>1.0080000000000007</v>
      </c>
      <c r="C98" s="9">
        <f t="shared" si="39"/>
        <v>50.87264523446141</v>
      </c>
      <c r="D98" s="23">
        <f t="shared" si="40"/>
        <v>0.8755648348361189</v>
      </c>
      <c r="E98" s="9">
        <f t="shared" si="41"/>
        <v>50.88017931308193</v>
      </c>
      <c r="F98" s="9">
        <f t="shared" si="42"/>
        <v>-4.892532755424232</v>
      </c>
      <c r="G98" s="9">
        <f t="shared" si="43"/>
        <v>46.9985222075875</v>
      </c>
      <c r="H98" s="23">
        <f t="shared" si="30"/>
        <v>5.238944795179148</v>
      </c>
      <c r="I98" s="9">
        <f t="shared" si="44"/>
        <v>29.563690167229296</v>
      </c>
      <c r="J98" s="23">
        <f t="shared" si="45"/>
        <v>4.902440802601526</v>
      </c>
      <c r="K98" s="44">
        <f t="shared" si="46"/>
        <v>5.778005637437645</v>
      </c>
      <c r="L98" s="46">
        <f t="shared" si="47"/>
        <v>1.344000000000001</v>
      </c>
      <c r="M98" s="9">
        <f t="shared" si="31"/>
        <v>89.86823406855169</v>
      </c>
      <c r="N98" s="23">
        <f t="shared" si="32"/>
        <v>1.711411094877724</v>
      </c>
      <c r="O98" s="9">
        <f t="shared" si="33"/>
        <v>89.88452827119728</v>
      </c>
      <c r="P98" s="9">
        <f t="shared" si="48"/>
        <v>-4.9023345493385815</v>
      </c>
      <c r="Q98" s="9">
        <f t="shared" si="34"/>
        <v>61.196141734858614</v>
      </c>
      <c r="R98" s="23">
        <f t="shared" si="35"/>
        <v>7.0331374718010595</v>
      </c>
      <c r="S98" s="9">
        <f t="shared" si="29"/>
        <v>53.30636848369896</v>
      </c>
      <c r="T98" s="23">
        <f t="shared" si="36"/>
        <v>8.49562965721017</v>
      </c>
      <c r="U98" s="44">
        <f t="shared" si="37"/>
        <v>10.207040752087893</v>
      </c>
      <c r="V98" s="36"/>
    </row>
    <row r="99" spans="1:22" ht="13.5" customHeight="1">
      <c r="A99" s="37"/>
      <c r="B99" s="46">
        <f t="shared" si="38"/>
        <v>1.0200000000000007</v>
      </c>
      <c r="C99" s="9">
        <f t="shared" si="39"/>
        <v>51.43457258641564</v>
      </c>
      <c r="D99" s="23">
        <f t="shared" si="40"/>
        <v>0.8267581193898217</v>
      </c>
      <c r="E99" s="9">
        <f t="shared" si="41"/>
        <v>51.44121680263052</v>
      </c>
      <c r="F99" s="9">
        <f t="shared" si="42"/>
        <v>-5.035491175540054</v>
      </c>
      <c r="G99" s="9">
        <f t="shared" si="43"/>
        <v>46.94584119028439</v>
      </c>
      <c r="H99" s="23">
        <f t="shared" si="30"/>
        <v>5.227206627802519</v>
      </c>
      <c r="I99" s="9">
        <f t="shared" si="44"/>
        <v>29.497450961240133</v>
      </c>
      <c r="J99" s="23">
        <f t="shared" si="45"/>
        <v>5.015070018184352</v>
      </c>
      <c r="K99" s="44">
        <f t="shared" si="46"/>
        <v>5.841828137574174</v>
      </c>
      <c r="L99" s="46">
        <f t="shared" si="47"/>
        <v>1.360000000000001</v>
      </c>
      <c r="M99" s="9">
        <f t="shared" si="31"/>
        <v>90.84379046738775</v>
      </c>
      <c r="N99" s="23">
        <f t="shared" si="32"/>
        <v>1.6264806870463737</v>
      </c>
      <c r="O99" s="9">
        <f t="shared" si="33"/>
        <v>90.8583496763395</v>
      </c>
      <c r="P99" s="9">
        <f t="shared" si="48"/>
        <v>-5.048720639620449</v>
      </c>
      <c r="Q99" s="9">
        <f t="shared" si="34"/>
        <v>61.09722472427485</v>
      </c>
      <c r="R99" s="23">
        <f t="shared" si="35"/>
        <v>7.010419220152258</v>
      </c>
      <c r="S99" s="9">
        <f t="shared" si="29"/>
        <v>53.13417968480914</v>
      </c>
      <c r="T99" s="23">
        <f t="shared" si="36"/>
        <v>8.691361662759396</v>
      </c>
      <c r="U99" s="44">
        <f t="shared" si="37"/>
        <v>10.31784234980577</v>
      </c>
      <c r="V99" s="36"/>
    </row>
    <row r="100" spans="1:22" ht="13.5" customHeight="1">
      <c r="A100" s="37"/>
      <c r="B100" s="46">
        <f t="shared" si="38"/>
        <v>1.0320000000000007</v>
      </c>
      <c r="C100" s="9">
        <f t="shared" si="39"/>
        <v>51.995748441942595</v>
      </c>
      <c r="D100" s="23">
        <f t="shared" si="40"/>
        <v>0.7766049804555202</v>
      </c>
      <c r="E100" s="9">
        <f t="shared" si="41"/>
        <v>52.00154777824833</v>
      </c>
      <c r="F100" s="9">
        <f t="shared" si="42"/>
        <v>-5.178578079753135</v>
      </c>
      <c r="G100" s="9">
        <f t="shared" si="43"/>
        <v>46.89359375160558</v>
      </c>
      <c r="H100" s="23">
        <f t="shared" si="30"/>
        <v>5.215578071334669</v>
      </c>
      <c r="I100" s="9">
        <f t="shared" si="44"/>
        <v>29.43183029640243</v>
      </c>
      <c r="J100" s="23">
        <f t="shared" si="45"/>
        <v>5.128960303907163</v>
      </c>
      <c r="K100" s="44">
        <f t="shared" si="46"/>
        <v>5.905565284362683</v>
      </c>
      <c r="L100" s="46">
        <f t="shared" si="47"/>
        <v>1.376000000000001</v>
      </c>
      <c r="M100" s="9">
        <f t="shared" si="31"/>
        <v>91.81755336849834</v>
      </c>
      <c r="N100" s="23">
        <f t="shared" si="32"/>
        <v>1.5391973667970154</v>
      </c>
      <c r="O100" s="9">
        <f t="shared" si="33"/>
        <v>91.83045374553583</v>
      </c>
      <c r="P100" s="9">
        <f t="shared" si="48"/>
        <v>-5.195310109899927</v>
      </c>
      <c r="Q100" s="9">
        <f t="shared" si="34"/>
        <v>60.999070947689845</v>
      </c>
      <c r="R100" s="23">
        <f t="shared" si="35"/>
        <v>6.987912587378838</v>
      </c>
      <c r="S100" s="9">
        <f t="shared" si="29"/>
        <v>52.963594812160544</v>
      </c>
      <c r="T100" s="23">
        <f t="shared" si="36"/>
        <v>8.889242879112127</v>
      </c>
      <c r="U100" s="44">
        <f t="shared" si="37"/>
        <v>10.428440245909142</v>
      </c>
      <c r="V100" s="36"/>
    </row>
    <row r="101" spans="1:22" ht="13.5" customHeight="1">
      <c r="A101" s="37"/>
      <c r="B101" s="46">
        <f t="shared" si="38"/>
        <v>1.0440000000000007</v>
      </c>
      <c r="C101" s="9">
        <f t="shared" si="39"/>
        <v>52.55617465214719</v>
      </c>
      <c r="D101" s="23">
        <f t="shared" si="40"/>
        <v>0.7251071419985438</v>
      </c>
      <c r="E101" s="9">
        <f t="shared" si="41"/>
        <v>52.56117649400911</v>
      </c>
      <c r="F101" s="9">
        <f t="shared" si="42"/>
        <v>-5.3217915097284</v>
      </c>
      <c r="G101" s="9">
        <f t="shared" si="43"/>
        <v>46.841778771797884</v>
      </c>
      <c r="H101" s="23">
        <f t="shared" si="30"/>
        <v>5.204058554595801</v>
      </c>
      <c r="I101" s="9">
        <f t="shared" si="44"/>
        <v>29.366824949513212</v>
      </c>
      <c r="J101" s="23">
        <f t="shared" si="45"/>
        <v>5.244110146049146</v>
      </c>
      <c r="K101" s="44">
        <f t="shared" si="46"/>
        <v>5.96921728804769</v>
      </c>
      <c r="L101" s="46">
        <f t="shared" si="47"/>
        <v>1.392000000000001</v>
      </c>
      <c r="M101" s="9">
        <f t="shared" si="31"/>
        <v>92.78952897511587</v>
      </c>
      <c r="N101" s="23">
        <f t="shared" si="32"/>
        <v>1.4495651955807962</v>
      </c>
      <c r="O101" s="9">
        <f t="shared" si="33"/>
        <v>92.80085089415995</v>
      </c>
      <c r="P101" s="9">
        <f t="shared" si="48"/>
        <v>-5.342100773794048</v>
      </c>
      <c r="Q101" s="9">
        <f t="shared" si="34"/>
        <v>60.901677479422645</v>
      </c>
      <c r="R101" s="23">
        <f t="shared" si="35"/>
        <v>6.965616060087654</v>
      </c>
      <c r="S101" s="9">
        <f t="shared" si="29"/>
        <v>52.794602395268925</v>
      </c>
      <c r="T101" s="23">
        <f t="shared" si="36"/>
        <v>9.089269949367008</v>
      </c>
      <c r="U101" s="44">
        <f t="shared" si="37"/>
        <v>10.538835144947804</v>
      </c>
      <c r="V101" s="36"/>
    </row>
    <row r="102" spans="1:22" ht="13.5" customHeight="1">
      <c r="A102" s="37"/>
      <c r="B102" s="46">
        <f t="shared" si="38"/>
        <v>1.0560000000000007</v>
      </c>
      <c r="C102" s="9">
        <f t="shared" si="39"/>
        <v>53.11585305648552</v>
      </c>
      <c r="D102" s="23">
        <f t="shared" si="40"/>
        <v>0.6722663222677777</v>
      </c>
      <c r="E102" s="9">
        <f t="shared" si="41"/>
        <v>53.12010719046243</v>
      </c>
      <c r="F102" s="9">
        <f t="shared" si="42"/>
        <v>-5.465129498792891</v>
      </c>
      <c r="G102" s="9">
        <f t="shared" si="43"/>
        <v>46.79039513194226</v>
      </c>
      <c r="H102" s="23">
        <f t="shared" si="30"/>
        <v>5.192647510358189</v>
      </c>
      <c r="I102" s="9">
        <f t="shared" si="44"/>
        <v>29.302431719671254</v>
      </c>
      <c r="J102" s="23">
        <f t="shared" si="45"/>
        <v>5.360518035282883</v>
      </c>
      <c r="K102" s="44">
        <f t="shared" si="46"/>
        <v>6.032784357550661</v>
      </c>
      <c r="L102" s="46">
        <f t="shared" si="47"/>
        <v>1.408000000000001</v>
      </c>
      <c r="M102" s="9">
        <f t="shared" si="31"/>
        <v>93.75972344612289</v>
      </c>
      <c r="N102" s="23">
        <f t="shared" si="32"/>
        <v>1.3575882154459642</v>
      </c>
      <c r="O102" s="9">
        <f t="shared" si="33"/>
        <v>93.76955148904234</v>
      </c>
      <c r="P102" s="9">
        <f t="shared" si="48"/>
        <v>-5.4890904306476545</v>
      </c>
      <c r="Q102" s="9">
        <f t="shared" si="34"/>
        <v>60.80504140901567</v>
      </c>
      <c r="R102" s="23">
        <f t="shared" si="35"/>
        <v>6.943528139173905</v>
      </c>
      <c r="S102" s="9">
        <f t="shared" si="29"/>
        <v>52.62719107194588</v>
      </c>
      <c r="T102" s="23">
        <f t="shared" si="36"/>
        <v>9.291439530988423</v>
      </c>
      <c r="U102" s="44">
        <f t="shared" si="37"/>
        <v>10.649027746434388</v>
      </c>
      <c r="V102" s="36"/>
    </row>
    <row r="103" spans="1:22" ht="13.5" customHeight="1">
      <c r="A103" s="37"/>
      <c r="B103" s="46">
        <f t="shared" si="38"/>
        <v>1.0680000000000007</v>
      </c>
      <c r="C103" s="9">
        <f t="shared" si="39"/>
        <v>53.67478548283415</v>
      </c>
      <c r="D103" s="23">
        <f t="shared" si="40"/>
        <v>0.6180842338590787</v>
      </c>
      <c r="E103" s="9">
        <f t="shared" si="41"/>
        <v>53.67834409469436</v>
      </c>
      <c r="F103" s="9">
        <f t="shared" si="42"/>
        <v>-5.608590072073155</v>
      </c>
      <c r="G103" s="9">
        <f t="shared" si="43"/>
        <v>46.73944171388381</v>
      </c>
      <c r="H103" s="23">
        <f t="shared" si="30"/>
        <v>5.181344375306698</v>
      </c>
      <c r="I103" s="9">
        <f t="shared" si="44"/>
        <v>29.23864742805434</v>
      </c>
      <c r="J103" s="23">
        <f t="shared" si="45"/>
        <v>5.478182466618806</v>
      </c>
      <c r="K103" s="44">
        <f t="shared" si="46"/>
        <v>6.0962667004778845</v>
      </c>
      <c r="L103" s="46">
        <f t="shared" si="47"/>
        <v>1.424000000000001</v>
      </c>
      <c r="M103" s="9">
        <f t="shared" si="31"/>
        <v>94.72814289639626</v>
      </c>
      <c r="N103" s="23">
        <f t="shared" si="32"/>
        <v>1.2632704492627866</v>
      </c>
      <c r="O103" s="9">
        <f t="shared" si="33"/>
        <v>94.73656584882127</v>
      </c>
      <c r="P103" s="9">
        <f t="shared" si="48"/>
        <v>-5.636276865672869</v>
      </c>
      <c r="Q103" s="9">
        <f t="shared" si="34"/>
        <v>60.70915984095161</v>
      </c>
      <c r="R103" s="23">
        <f t="shared" si="35"/>
        <v>6.921647339645768</v>
      </c>
      <c r="S103" s="9">
        <f t="shared" si="29"/>
        <v>52.46134958696974</v>
      </c>
      <c r="T103" s="23">
        <f t="shared" si="36"/>
        <v>9.495748295620672</v>
      </c>
      <c r="U103" s="44">
        <f t="shared" si="37"/>
        <v>10.759018744883459</v>
      </c>
      <c r="V103" s="36"/>
    </row>
    <row r="104" spans="1:22" ht="13.5" customHeight="1">
      <c r="A104" s="37"/>
      <c r="B104" s="46">
        <f t="shared" si="38"/>
        <v>1.0800000000000007</v>
      </c>
      <c r="C104" s="9">
        <f t="shared" si="39"/>
        <v>54.232973747559065</v>
      </c>
      <c r="D104" s="23">
        <f t="shared" si="40"/>
        <v>0.5625625837782766</v>
      </c>
      <c r="E104" s="9">
        <f t="shared" si="41"/>
        <v>54.23589142038783</v>
      </c>
      <c r="F104" s="9">
        <f t="shared" si="42"/>
        <v>-5.752171246634252</v>
      </c>
      <c r="G104" s="9">
        <f t="shared" si="43"/>
        <v>46.68891740016277</v>
      </c>
      <c r="H104" s="23">
        <f t="shared" si="30"/>
        <v>5.170148589999739</v>
      </c>
      <c r="I104" s="9">
        <f t="shared" si="44"/>
        <v>29.175468917698904</v>
      </c>
      <c r="J104" s="23">
        <f t="shared" si="45"/>
        <v>5.597101939350027</v>
      </c>
      <c r="K104" s="44">
        <f t="shared" si="46"/>
        <v>6.159664523128304</v>
      </c>
      <c r="L104" s="46">
        <f t="shared" si="47"/>
        <v>1.440000000000001</v>
      </c>
      <c r="M104" s="9">
        <f t="shared" si="31"/>
        <v>95.69479339714826</v>
      </c>
      <c r="N104" s="23">
        <f t="shared" si="32"/>
        <v>1.166615900946497</v>
      </c>
      <c r="O104" s="9">
        <f t="shared" si="33"/>
        <v>95.70190424428989</v>
      </c>
      <c r="P104" s="9">
        <f t="shared" si="48"/>
        <v>-5.783657850091499</v>
      </c>
      <c r="Q104" s="9">
        <f t="shared" si="34"/>
        <v>60.614029894373935</v>
      </c>
      <c r="R104" s="23">
        <f t="shared" si="35"/>
        <v>6.899972190451455</v>
      </c>
      <c r="S104" s="9">
        <f t="shared" si="29"/>
        <v>52.29706679077476</v>
      </c>
      <c r="T104" s="23">
        <f t="shared" si="36"/>
        <v>9.702192928903754</v>
      </c>
      <c r="U104" s="44">
        <f t="shared" si="37"/>
        <v>10.86880882985025</v>
      </c>
      <c r="V104" s="36"/>
    </row>
    <row r="105" spans="1:22" ht="13.5" customHeight="1">
      <c r="A105" s="37"/>
      <c r="B105" s="46">
        <f t="shared" si="38"/>
        <v>1.0920000000000007</v>
      </c>
      <c r="C105" s="9">
        <f t="shared" si="39"/>
        <v>54.790419655584124</v>
      </c>
      <c r="D105" s="23">
        <f t="shared" si="40"/>
        <v>0.5057030735037632</v>
      </c>
      <c r="E105" s="9">
        <f t="shared" si="41"/>
        <v>54.792753367882234</v>
      </c>
      <c r="F105" s="9">
        <f t="shared" si="42"/>
        <v>-5.895871031620329</v>
      </c>
      <c r="G105" s="9">
        <f t="shared" si="43"/>
        <v>46.638821073946616</v>
      </c>
      <c r="H105" s="23">
        <f t="shared" si="30"/>
        <v>5.1590595988306065</v>
      </c>
      <c r="I105" s="9">
        <f t="shared" si="44"/>
        <v>29.11289305328189</v>
      </c>
      <c r="J105" s="23">
        <f t="shared" si="45"/>
        <v>5.717274956997525</v>
      </c>
      <c r="K105" s="44">
        <f t="shared" si="46"/>
        <v>6.222978030501289</v>
      </c>
      <c r="L105" s="46">
        <f t="shared" si="47"/>
        <v>1.456000000000001</v>
      </c>
      <c r="M105" s="9">
        <f t="shared" si="31"/>
        <v>96.65968097626467</v>
      </c>
      <c r="N105" s="23">
        <f t="shared" si="32"/>
        <v>1.0676285556782887</v>
      </c>
      <c r="O105" s="9">
        <f t="shared" si="33"/>
        <v>96.66557689873972</v>
      </c>
      <c r="P105" s="9">
        <f t="shared" si="48"/>
        <v>-5.931231141280391</v>
      </c>
      <c r="Q105" s="9">
        <f t="shared" si="34"/>
        <v>60.51964870281102</v>
      </c>
      <c r="R105" s="23">
        <f t="shared" si="35"/>
        <v>6.878501234308594</v>
      </c>
      <c r="S105" s="9">
        <f t="shared" si="29"/>
        <v>52.134331638157924</v>
      </c>
      <c r="T105" s="23">
        <f t="shared" si="36"/>
        <v>9.910770130290778</v>
      </c>
      <c r="U105" s="44">
        <f t="shared" si="37"/>
        <v>10.978398685969067</v>
      </c>
      <c r="V105" s="36"/>
    </row>
    <row r="106" spans="1:22" ht="13.5" customHeight="1">
      <c r="A106" s="37"/>
      <c r="B106" s="46">
        <f t="shared" si="38"/>
        <v>1.1040000000000008</v>
      </c>
      <c r="C106" s="9">
        <f t="shared" si="39"/>
        <v>55.347125000459194</v>
      </c>
      <c r="D106" s="23">
        <f t="shared" si="40"/>
        <v>0.447507399048672</v>
      </c>
      <c r="E106" s="9">
        <f t="shared" si="41"/>
        <v>55.34893412423277</v>
      </c>
      <c r="F106" s="9">
        <f t="shared" si="42"/>
        <v>-6.039687428396741</v>
      </c>
      <c r="G106" s="9">
        <f t="shared" si="43"/>
        <v>46.5891516189631</v>
      </c>
      <c r="H106" s="23">
        <f t="shared" si="30"/>
        <v>5.14807684998925</v>
      </c>
      <c r="I106" s="9">
        <f t="shared" si="44"/>
        <v>29.05091672090497</v>
      </c>
      <c r="J106" s="23">
        <f t="shared" si="45"/>
        <v>5.838700027255705</v>
      </c>
      <c r="K106" s="44">
        <f t="shared" si="46"/>
        <v>6.286207426304377</v>
      </c>
      <c r="L106" s="46">
        <f t="shared" si="47"/>
        <v>1.472000000000001</v>
      </c>
      <c r="M106" s="9">
        <f t="shared" si="31"/>
        <v>97.62281161863989</v>
      </c>
      <c r="N106" s="23">
        <f t="shared" si="32"/>
        <v>0.9663123801243757</v>
      </c>
      <c r="O106" s="9">
        <f t="shared" si="33"/>
        <v>97.62759398830042</v>
      </c>
      <c r="P106" s="9">
        <f t="shared" si="48"/>
        <v>-6.0789944829196845</v>
      </c>
      <c r="Q106" s="9">
        <f t="shared" si="34"/>
        <v>60.42601341390378</v>
      </c>
      <c r="R106" s="23">
        <f t="shared" si="35"/>
        <v>6.857233027535959</v>
      </c>
      <c r="S106" s="9">
        <f t="shared" si="29"/>
        <v>51.97313318700363</v>
      </c>
      <c r="T106" s="23">
        <f t="shared" si="36"/>
        <v>10.121476612866966</v>
      </c>
      <c r="U106" s="44">
        <f t="shared" si="37"/>
        <v>11.08778899299134</v>
      </c>
      <c r="V106" s="36"/>
    </row>
    <row r="107" spans="1:22" ht="13.5" customHeight="1">
      <c r="A107" s="37"/>
      <c r="B107" s="46">
        <f t="shared" si="38"/>
        <v>1.1160000000000008</v>
      </c>
      <c r="C107" s="9">
        <f t="shared" si="39"/>
        <v>55.90309156442786</v>
      </c>
      <c r="D107" s="23">
        <f t="shared" si="40"/>
        <v>0.38797725102264985</v>
      </c>
      <c r="E107" s="9">
        <f t="shared" si="41"/>
        <v>55.90443786326911</v>
      </c>
      <c r="F107" s="9">
        <f t="shared" si="42"/>
        <v>-6.18361843069373</v>
      </c>
      <c r="G107" s="9">
        <f t="shared" si="43"/>
        <v>46.53990791943438</v>
      </c>
      <c r="H107" s="23">
        <f t="shared" si="30"/>
        <v>5.137199795424415</v>
      </c>
      <c r="I107" s="9">
        <f t="shared" si="44"/>
        <v>28.989536827880954</v>
      </c>
      <c r="J107" s="23">
        <f t="shared" si="45"/>
        <v>5.961375661938311</v>
      </c>
      <c r="K107" s="44">
        <f t="shared" si="46"/>
        <v>6.349352912960961</v>
      </c>
      <c r="L107" s="46">
        <f t="shared" si="47"/>
        <v>1.488000000000001</v>
      </c>
      <c r="M107" s="9">
        <f t="shared" si="31"/>
        <v>98.58419126650902</v>
      </c>
      <c r="N107" s="23">
        <f t="shared" si="32"/>
        <v>0.8626713226531354</v>
      </c>
      <c r="O107" s="9">
        <f t="shared" si="33"/>
        <v>98.58796564227585</v>
      </c>
      <c r="P107" s="9">
        <f t="shared" si="48"/>
        <v>-6.226945605143961</v>
      </c>
      <c r="Q107" s="9">
        <f t="shared" si="34"/>
        <v>60.33312118913689</v>
      </c>
      <c r="R107" s="23">
        <f t="shared" si="35"/>
        <v>6.836166139887475</v>
      </c>
      <c r="S107" s="9">
        <f t="shared" si="29"/>
        <v>51.8134605970255</v>
      </c>
      <c r="T107" s="23">
        <f t="shared" si="36"/>
        <v>10.334309103170222</v>
      </c>
      <c r="U107" s="44">
        <f t="shared" si="37"/>
        <v>11.196980425823357</v>
      </c>
      <c r="V107" s="36"/>
    </row>
    <row r="108" spans="1:22" ht="13.5" customHeight="1">
      <c r="A108" s="37"/>
      <c r="B108" s="46">
        <f t="shared" si="38"/>
        <v>1.1280000000000008</v>
      </c>
      <c r="C108" s="9">
        <f t="shared" si="39"/>
        <v>56.458321118494744</v>
      </c>
      <c r="D108" s="23">
        <f t="shared" si="40"/>
        <v>0.3271143146932237</v>
      </c>
      <c r="E108" s="9">
        <f t="shared" si="41"/>
        <v>56.45926874565368</v>
      </c>
      <c r="F108" s="9">
        <f t="shared" si="42"/>
        <v>-6.327662024751577</v>
      </c>
      <c r="G108" s="9">
        <f t="shared" si="43"/>
        <v>46.49108886001216</v>
      </c>
      <c r="H108" s="23">
        <f t="shared" si="30"/>
        <v>5.1264278908062115</v>
      </c>
      <c r="I108" s="9">
        <f t="shared" si="44"/>
        <v>28.92875030252253</v>
      </c>
      <c r="J108" s="23">
        <f t="shared" si="45"/>
        <v>6.085300376924713</v>
      </c>
      <c r="K108" s="44">
        <f t="shared" si="46"/>
        <v>6.412414691617936</v>
      </c>
      <c r="L108" s="46">
        <f t="shared" si="47"/>
        <v>1.5040000000000011</v>
      </c>
      <c r="M108" s="9">
        <f t="shared" si="31"/>
        <v>99.54382581977715</v>
      </c>
      <c r="N108" s="23">
        <f t="shared" si="32"/>
        <v>0.7567093135503572</v>
      </c>
      <c r="O108" s="9">
        <f t="shared" si="33"/>
        <v>99.54670194347649</v>
      </c>
      <c r="P108" s="9">
        <f t="shared" si="48"/>
        <v>-6.375082224696277</v>
      </c>
      <c r="Q108" s="9">
        <f t="shared" si="34"/>
        <v>60.240969203573464</v>
      </c>
      <c r="R108" s="23">
        <f t="shared" si="35"/>
        <v>6.815299154388462</v>
      </c>
      <c r="S108" s="9">
        <f t="shared" si="29"/>
        <v>51.655303128525226</v>
      </c>
      <c r="T108" s="23">
        <f t="shared" si="36"/>
        <v>10.549264341013288</v>
      </c>
      <c r="U108" s="44">
        <f t="shared" si="37"/>
        <v>11.305973654563646</v>
      </c>
      <c r="V108" s="36"/>
    </row>
    <row r="109" spans="1:22" ht="13.5" customHeight="1">
      <c r="A109" s="37"/>
      <c r="B109" s="46">
        <f t="shared" si="38"/>
        <v>1.1400000000000008</v>
      </c>
      <c r="C109" s="9">
        <f t="shared" si="39"/>
        <v>57.012815422492444</v>
      </c>
      <c r="D109" s="23">
        <f t="shared" si="40"/>
        <v>0.264920270046764</v>
      </c>
      <c r="E109" s="9">
        <f t="shared" si="41"/>
        <v>57.01343091893939</v>
      </c>
      <c r="F109" s="9">
        <f t="shared" si="42"/>
        <v>-6.47181618946727</v>
      </c>
      <c r="G109" s="9">
        <f t="shared" si="43"/>
        <v>46.44269332571392</v>
      </c>
      <c r="H109" s="23">
        <f t="shared" si="30"/>
        <v>5.11576059548904</v>
      </c>
      <c r="I109" s="9">
        <f t="shared" si="44"/>
        <v>28.86855409393309</v>
      </c>
      <c r="J109" s="23">
        <f t="shared" si="45"/>
        <v>6.210472692106541</v>
      </c>
      <c r="K109" s="44">
        <f t="shared" si="46"/>
        <v>6.475392962153305</v>
      </c>
      <c r="L109" s="46">
        <f t="shared" si="47"/>
        <v>1.5200000000000011</v>
      </c>
      <c r="M109" s="9">
        <f t="shared" si="31"/>
        <v>100.50172113634568</v>
      </c>
      <c r="N109" s="23">
        <f t="shared" si="32"/>
        <v>0.6484302652326109</v>
      </c>
      <c r="O109" s="9">
        <f t="shared" si="33"/>
        <v>100.50381292854844</v>
      </c>
      <c r="P109" s="9">
        <f t="shared" si="48"/>
        <v>-6.523402045085054</v>
      </c>
      <c r="Q109" s="9">
        <f t="shared" si="34"/>
        <v>60.14955464559326</v>
      </c>
      <c r="R109" s="23">
        <f t="shared" si="35"/>
        <v>6.79463066717411</v>
      </c>
      <c r="S109" s="9">
        <f t="shared" si="29"/>
        <v>51.498650141168405</v>
      </c>
      <c r="T109" s="23">
        <f t="shared" si="36"/>
        <v>10.76633907930744</v>
      </c>
      <c r="U109" s="44">
        <f t="shared" si="37"/>
        <v>11.41476934454005</v>
      </c>
      <c r="V109" s="36"/>
    </row>
    <row r="110" spans="1:22" ht="13.5" customHeight="1">
      <c r="A110" s="37"/>
      <c r="B110" s="46">
        <f t="shared" si="38"/>
        <v>1.1520000000000008</v>
      </c>
      <c r="C110" s="9">
        <f t="shared" si="39"/>
        <v>57.5665762251481</v>
      </c>
      <c r="D110" s="23">
        <f t="shared" si="40"/>
        <v>0.20139679184904682</v>
      </c>
      <c r="E110" s="9">
        <f t="shared" si="41"/>
        <v>57.5669285176268</v>
      </c>
      <c r="F110" s="9">
        <f t="shared" si="42"/>
        <v>-6.616078896542598</v>
      </c>
      <c r="G110" s="9">
        <f t="shared" si="43"/>
        <v>46.39472020186006</v>
      </c>
      <c r="H110" s="23">
        <f t="shared" si="30"/>
        <v>5.1051973724749375</v>
      </c>
      <c r="I110" s="9">
        <f t="shared" si="44"/>
        <v>28.808945171799824</v>
      </c>
      <c r="J110" s="23">
        <f t="shared" si="45"/>
        <v>6.3368911313346885</v>
      </c>
      <c r="K110" s="44">
        <f t="shared" si="46"/>
        <v>6.538287923183735</v>
      </c>
      <c r="L110" s="46">
        <f t="shared" si="47"/>
        <v>1.5360000000000011</v>
      </c>
      <c r="M110" s="9">
        <f t="shared" si="31"/>
        <v>101.45788303243579</v>
      </c>
      <c r="N110" s="23">
        <f t="shared" si="32"/>
        <v>0.5378380724587547</v>
      </c>
      <c r="O110" s="9">
        <f t="shared" si="33"/>
        <v>101.45930858829864</v>
      </c>
      <c r="P110" s="9">
        <f t="shared" si="48"/>
        <v>-6.671902756743793</v>
      </c>
      <c r="Q110" s="9">
        <f t="shared" si="34"/>
        <v>60.058874716634364</v>
      </c>
      <c r="R110" s="23">
        <f t="shared" si="35"/>
        <v>6.774159287330133</v>
      </c>
      <c r="S110" s="9">
        <f t="shared" si="29"/>
        <v>51.34349109277669</v>
      </c>
      <c r="T110" s="23">
        <f t="shared" si="36"/>
        <v>10.985530083887708</v>
      </c>
      <c r="U110" s="44">
        <f t="shared" si="37"/>
        <v>11.523368156346462</v>
      </c>
      <c r="V110" s="36"/>
    </row>
    <row r="111" spans="1:22" ht="13.5" customHeight="1">
      <c r="A111" s="37"/>
      <c r="B111" s="46">
        <f t="shared" si="38"/>
        <v>1.1640000000000008</v>
      </c>
      <c r="C111" s="9">
        <f t="shared" si="39"/>
        <v>58.11960526414955</v>
      </c>
      <c r="D111" s="23">
        <f t="shared" si="40"/>
        <v>0.13654554970541732</v>
      </c>
      <c r="E111" s="9">
        <f t="shared" si="41"/>
        <v>58.11976566322084</v>
      </c>
      <c r="F111" s="9">
        <f t="shared" si="42"/>
        <v>-6.760448110633703</v>
      </c>
      <c r="G111" s="9">
        <f t="shared" si="43"/>
        <v>46.34716837401221</v>
      </c>
      <c r="H111" s="23">
        <f>xda*(G111^2)/(2*G$6)</f>
        <v>5.094737688377276</v>
      </c>
      <c r="I111" s="9">
        <f t="shared" si="44"/>
        <v>28.74992052618896</v>
      </c>
      <c r="J111" s="23">
        <f t="shared" si="45"/>
        <v>6.464554222366658</v>
      </c>
      <c r="K111" s="44">
        <f t="shared" si="46"/>
        <v>6.601099772072075</v>
      </c>
      <c r="L111" s="46">
        <f t="shared" si="47"/>
        <v>1.5520000000000012</v>
      </c>
      <c r="M111" s="9">
        <f t="shared" si="31"/>
        <v>102.41231728290919</v>
      </c>
      <c r="N111" s="23">
        <f t="shared" si="32"/>
        <v>0.42493661253959913</v>
      </c>
      <c r="O111" s="9">
        <f t="shared" si="33"/>
        <v>102.41319886801669</v>
      </c>
      <c r="P111" s="9">
        <f t="shared" si="48"/>
        <v>-6.820582037193618</v>
      </c>
      <c r="Q111" s="9">
        <f t="shared" si="34"/>
        <v>59.96892663093827</v>
      </c>
      <c r="R111" s="23">
        <f>yda*(Q111^2)/(2*Q$6)</f>
        <v>6.753883636735568</v>
      </c>
      <c r="S111" s="9">
        <f t="shared" si="29"/>
        <v>51.18981553813637</v>
      </c>
      <c r="T111" s="23">
        <f t="shared" si="36"/>
        <v>11.20683413333966</v>
      </c>
      <c r="U111" s="44">
        <f t="shared" si="37"/>
        <v>11.631770745879258</v>
      </c>
      <c r="V111" s="36"/>
    </row>
    <row r="112" spans="1:22" ht="13.5" customHeight="1">
      <c r="A112" s="37"/>
      <c r="B112" s="46">
        <f t="shared" si="38"/>
        <v>1.1760000000000008</v>
      </c>
      <c r="C112" s="9">
        <f t="shared" si="39"/>
        <v>58.671904266211165</v>
      </c>
      <c r="D112" s="23">
        <f t="shared" si="40"/>
        <v>0.07036820812055622</v>
      </c>
      <c r="E112" s="9">
        <f t="shared" si="41"/>
        <v>58.67194646428702</v>
      </c>
      <c r="F112" s="9">
        <f t="shared" si="42"/>
        <v>-6.904921789502015</v>
      </c>
      <c r="G112" s="9">
        <f t="shared" si="43"/>
        <v>46.3000367279125</v>
      </c>
      <c r="H112" s="23">
        <f>xda*(G112^2)/(2*G$6)</f>
        <v>5.084381013384864</v>
      </c>
      <c r="I112" s="9">
        <f t="shared" si="44"/>
        <v>28.691477167343088</v>
      </c>
      <c r="J112" s="23">
        <f t="shared" si="45"/>
        <v>6.593460496814272</v>
      </c>
      <c r="K112" s="44">
        <f t="shared" si="46"/>
        <v>6.663828704934828</v>
      </c>
      <c r="L112" s="46">
        <f t="shared" si="47"/>
        <v>1.5680000000000012</v>
      </c>
      <c r="M112" s="9">
        <f t="shared" si="31"/>
        <v>103.36502962158598</v>
      </c>
      <c r="N112" s="23">
        <f t="shared" si="32"/>
        <v>0.30972974554574495</v>
      </c>
      <c r="O112" s="9">
        <f t="shared" si="33"/>
        <v>103.36549366779333</v>
      </c>
      <c r="P112" s="9">
        <f t="shared" si="48"/>
        <v>-6.969437551208588</v>
      </c>
      <c r="Q112" s="9">
        <f t="shared" si="34"/>
        <v>59.87970761529846</v>
      </c>
      <c r="R112" s="23">
        <f>yda*(Q112^2)/(2*Q$6)</f>
        <v>6.733802349907692</v>
      </c>
      <c r="S112" s="9">
        <f t="shared" si="29"/>
        <v>51.03761312782297</v>
      </c>
      <c r="T112" s="23">
        <f t="shared" si="36"/>
        <v>11.430248018827648</v>
      </c>
      <c r="U112" s="44">
        <f t="shared" si="37"/>
        <v>11.739977764373393</v>
      </c>
      <c r="V112" s="36"/>
    </row>
    <row r="113" spans="1:22" ht="13.5" customHeight="1">
      <c r="A113" s="37"/>
      <c r="B113" s="46">
        <f t="shared" si="38"/>
        <v>1.1880000000000008</v>
      </c>
      <c r="C113" s="9">
        <f t="shared" si="39"/>
        <v>59.22347494713927</v>
      </c>
      <c r="D113" s="23">
        <f t="shared" si="40"/>
        <v>0.002866426557851253</v>
      </c>
      <c r="E113" s="9">
        <f t="shared" si="41"/>
        <v>59.223475016507045</v>
      </c>
      <c r="F113" s="9">
        <f t="shared" si="42"/>
        <v>-7.049497884166578</v>
      </c>
      <c r="G113" s="9">
        <f t="shared" si="43"/>
        <v>46.25332414942384</v>
      </c>
      <c r="H113" s="23">
        <f>xda*(G113^2)/(2*G$6)</f>
        <v>5.074126821226398</v>
      </c>
      <c r="I113" s="9">
        <f t="shared" si="44"/>
        <v>28.63361212548063</v>
      </c>
      <c r="J113" s="23">
        <f t="shared" si="45"/>
        <v>6.723608490091737</v>
      </c>
      <c r="K113" s="44">
        <f t="shared" si="46"/>
        <v>6.726474916649589</v>
      </c>
      <c r="L113" s="46">
        <f t="shared" si="47"/>
        <v>1.5840000000000012</v>
      </c>
      <c r="M113" s="9">
        <f t="shared" si="31"/>
        <v>104.31602574155988</v>
      </c>
      <c r="N113" s="23">
        <f t="shared" si="32"/>
        <v>0.19222131451361205</v>
      </c>
      <c r="O113" s="9">
        <f t="shared" si="33"/>
        <v>104.3162028428352</v>
      </c>
      <c r="P113" s="9">
        <f t="shared" si="48"/>
        <v>-7.118466950983797</v>
      </c>
      <c r="Q113" s="9">
        <f t="shared" si="34"/>
        <v>59.79121490881231</v>
      </c>
      <c r="R113" s="23">
        <f>yda*(Q113^2)/(2*Q$6)</f>
        <v>6.713914073849025</v>
      </c>
      <c r="S113" s="9">
        <f t="shared" si="29"/>
        <v>50.886873607041586</v>
      </c>
      <c r="T113" s="23">
        <f t="shared" si="36"/>
        <v>11.655768543924596</v>
      </c>
      <c r="U113" s="44">
        <f t="shared" si="37"/>
        <v>11.847989858438208</v>
      </c>
      <c r="V113" s="36"/>
    </row>
    <row r="114" spans="1:22" ht="13.5" customHeight="1">
      <c r="A114" s="37"/>
      <c r="B114" s="46">
        <f t="shared" si="38"/>
        <v>1.2000000000000008</v>
      </c>
      <c r="C114" s="9">
        <f t="shared" si="39"/>
        <v>59.77431901189723</v>
      </c>
      <c r="D114" s="23">
        <f t="shared" si="40"/>
        <v>-0.06595814050162395</v>
      </c>
      <c r="E114" s="9">
        <f t="shared" si="41"/>
        <v>59.77435540273401</v>
      </c>
      <c r="F114" s="9">
        <f t="shared" si="42"/>
        <v>-7.1941743390577235</v>
      </c>
      <c r="G114" s="9">
        <f t="shared" si="43"/>
        <v>46.20702952447134</v>
      </c>
      <c r="H114" s="23">
        <f>xda*(G114^2)/(2*G$6)</f>
        <v>5.063974589135307</v>
      </c>
      <c r="I114" s="9">
        <f t="shared" si="44"/>
        <v>28.576322450597438</v>
      </c>
      <c r="J114" s="23">
        <f t="shared" si="45"/>
        <v>6.854996741364049</v>
      </c>
      <c r="K114" s="44">
        <f t="shared" si="46"/>
        <v>6.789038600862425</v>
      </c>
      <c r="L114" s="46">
        <f t="shared" si="47"/>
        <v>1.6000000000000012</v>
      </c>
      <c r="M114" s="9">
        <f t="shared" si="31"/>
        <v>105.2653112955107</v>
      </c>
      <c r="N114" s="23">
        <f t="shared" si="32"/>
        <v>0.07241514564967552</v>
      </c>
      <c r="O114" s="9">
        <f t="shared" si="33"/>
        <v>105.26533620377647</v>
      </c>
      <c r="P114" s="9">
        <f t="shared" si="48"/>
        <v>-7.267667876306201</v>
      </c>
      <c r="Q114" s="9">
        <f t="shared" si="34"/>
        <v>59.70344576263644</v>
      </c>
      <c r="R114" s="23">
        <f>yda*(Q114^2)/(2*Q$6)</f>
        <v>6.694217467896378</v>
      </c>
      <c r="S114" s="9">
        <f t="shared" si="29"/>
        <v>50.737586814482825</v>
      </c>
      <c r="T114" s="23">
        <f t="shared" si="36"/>
        <v>11.88339252444324</v>
      </c>
      <c r="U114" s="44">
        <f t="shared" si="37"/>
        <v>11.955807670092915</v>
      </c>
      <c r="V114" s="36"/>
    </row>
    <row r="115" spans="1:22" ht="13.5" customHeight="1">
      <c r="A115" s="37"/>
      <c r="B115" s="48"/>
      <c r="C115" s="20"/>
      <c r="D115" s="20"/>
      <c r="E115" s="20"/>
      <c r="F115" s="20"/>
      <c r="G115" s="20"/>
      <c r="H115" s="20"/>
      <c r="I115" s="20"/>
      <c r="J115" s="20"/>
      <c r="K115" s="47"/>
      <c r="L115" s="48"/>
      <c r="M115" s="20"/>
      <c r="N115" s="20"/>
      <c r="O115" s="20"/>
      <c r="P115" s="20"/>
      <c r="Q115" s="20"/>
      <c r="R115" s="20"/>
      <c r="S115" s="20"/>
      <c r="T115" s="20"/>
      <c r="U115" s="47"/>
      <c r="V115" s="36"/>
    </row>
  </sheetData>
  <sheetProtection password="E876" sheet="1" objects="1" scenarios="1"/>
  <printOptions/>
  <pageMargins left="0.984251968503937" right="0.984251968503937" top="0.3937007874015748" bottom="0.5905511811023623" header="0.3937007874015748" footer="0.3937007874015748"/>
  <pageSetup fitToHeight="0" fitToWidth="1" orientation="landscape" paperSize="9" scale="90" r:id="rId1"/>
  <headerFooter alignWithMargins="0">
    <oddFooter>&amp;CPagina &amp;P di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160"/>
  <sheetViews>
    <sheetView workbookViewId="0" topLeftCell="A1">
      <pane ySplit="8" topLeftCell="BM9" activePane="bottomLeft" state="frozen"/>
      <selection pane="topLeft" activeCell="A1" sqref="A1"/>
      <selection pane="bottomLeft" activeCell="G1" sqref="G1"/>
    </sheetView>
  </sheetViews>
  <sheetFormatPr defaultColWidth="9.140625" defaultRowHeight="13.5" customHeight="1"/>
  <cols>
    <col min="1" max="1" width="17.140625" style="100" customWidth="1"/>
    <col min="2" max="2" width="17.140625" style="118" customWidth="1"/>
    <col min="3" max="3" width="7.28125" style="100" customWidth="1"/>
    <col min="4" max="5" width="47.7109375" style="100" customWidth="1"/>
    <col min="6" max="6" width="2.421875" style="100" customWidth="1"/>
    <col min="7" max="16384" width="9.140625" style="100" customWidth="1"/>
  </cols>
  <sheetData>
    <row r="1" spans="1:7" s="53" customFormat="1" ht="27" customHeight="1">
      <c r="A1" s="122" t="s">
        <v>249</v>
      </c>
      <c r="B1" s="4"/>
      <c r="C1" s="2"/>
      <c r="D1" s="2"/>
      <c r="E1" s="155" t="s">
        <v>247</v>
      </c>
      <c r="F1" s="6"/>
      <c r="G1" s="6"/>
    </row>
    <row r="2" spans="1:7" s="121" customFormat="1" ht="13.5" customHeight="1">
      <c r="A2" s="157" t="s">
        <v>150</v>
      </c>
      <c r="B2" s="158"/>
      <c r="C2" s="158"/>
      <c r="D2" s="158"/>
      <c r="E2" s="160"/>
      <c r="F2" s="160"/>
      <c r="G2" s="160"/>
    </row>
    <row r="3" spans="1:7" s="121" customFormat="1" ht="13.5" customHeight="1">
      <c r="A3" s="157" t="s">
        <v>204</v>
      </c>
      <c r="B3" s="159"/>
      <c r="C3" s="159"/>
      <c r="D3" s="159"/>
      <c r="E3" s="160"/>
      <c r="F3" s="160"/>
      <c r="G3" s="160"/>
    </row>
    <row r="4" spans="1:7" s="121" customFormat="1" ht="13.5" customHeight="1">
      <c r="A4" s="157" t="s">
        <v>242</v>
      </c>
      <c r="B4" s="158"/>
      <c r="C4" s="158"/>
      <c r="D4" s="158"/>
      <c r="E4" s="160"/>
      <c r="F4" s="160"/>
      <c r="G4" s="160"/>
    </row>
    <row r="5" spans="1:7" s="121" customFormat="1" ht="13.5" customHeight="1">
      <c r="A5" s="157" t="s">
        <v>149</v>
      </c>
      <c r="B5" s="158"/>
      <c r="C5" s="158"/>
      <c r="D5" s="158"/>
      <c r="E5" s="160"/>
      <c r="F5" s="160"/>
      <c r="G5" s="160"/>
    </row>
    <row r="6" spans="1:7" s="121" customFormat="1" ht="13.5" customHeight="1">
      <c r="A6" s="157" t="s">
        <v>206</v>
      </c>
      <c r="B6" s="158"/>
      <c r="C6" s="158"/>
      <c r="D6" s="158"/>
      <c r="E6" s="160"/>
      <c r="F6" s="160"/>
      <c r="G6" s="160"/>
    </row>
    <row r="7" spans="1:7" s="121" customFormat="1" ht="13.5" customHeight="1">
      <c r="A7" s="157" t="s">
        <v>248</v>
      </c>
      <c r="B7" s="158"/>
      <c r="C7" s="158"/>
      <c r="D7" s="158"/>
      <c r="E7" s="160"/>
      <c r="F7" s="160"/>
      <c r="G7" s="160"/>
    </row>
    <row r="8" spans="1:7" s="121" customFormat="1" ht="13.5" customHeight="1">
      <c r="A8" s="157" t="s">
        <v>250</v>
      </c>
      <c r="B8" s="158"/>
      <c r="C8" s="158"/>
      <c r="D8" s="158"/>
      <c r="E8" s="160"/>
      <c r="F8" s="160"/>
      <c r="G8" s="160"/>
    </row>
    <row r="9" spans="1:5" s="101" customFormat="1" ht="13.5" customHeight="1">
      <c r="A9" s="113" t="s">
        <v>131</v>
      </c>
      <c r="B9" s="141"/>
      <c r="C9" s="104" t="s">
        <v>26</v>
      </c>
      <c r="D9" s="185" t="s">
        <v>215</v>
      </c>
      <c r="E9" s="185"/>
    </row>
    <row r="10" spans="1:5" s="101" customFormat="1" ht="13.5" customHeight="1">
      <c r="A10" s="113"/>
      <c r="B10" s="116" t="s">
        <v>139</v>
      </c>
      <c r="C10" s="104"/>
      <c r="D10" s="185"/>
      <c r="E10" s="185"/>
    </row>
    <row r="11" spans="1:5" s="101" customFormat="1" ht="13.5" customHeight="1" thickBot="1">
      <c r="A11" s="140"/>
      <c r="B11" s="115"/>
      <c r="C11" s="106"/>
      <c r="D11" s="186"/>
      <c r="E11" s="186"/>
    </row>
    <row r="12" spans="1:5" s="101" customFormat="1" ht="13.5" customHeight="1" thickBot="1">
      <c r="A12" s="110" t="s">
        <v>132</v>
      </c>
      <c r="B12" s="120"/>
      <c r="C12" s="108" t="s">
        <v>26</v>
      </c>
      <c r="D12" s="183" t="s">
        <v>244</v>
      </c>
      <c r="E12" s="183"/>
    </row>
    <row r="13" spans="1:5" s="101" customFormat="1" ht="13.5" customHeight="1" thickBot="1">
      <c r="A13" s="113"/>
      <c r="B13" s="116" t="s">
        <v>107</v>
      </c>
      <c r="C13" s="104"/>
      <c r="D13" s="183"/>
      <c r="E13" s="183"/>
    </row>
    <row r="14" spans="1:5" s="101" customFormat="1" ht="13.5" customHeight="1">
      <c r="A14" s="114"/>
      <c r="B14" s="116"/>
      <c r="C14" s="104"/>
      <c r="D14" s="184"/>
      <c r="E14" s="184"/>
    </row>
    <row r="15" spans="1:5" s="101" customFormat="1" ht="13.5" customHeight="1">
      <c r="A15" s="114"/>
      <c r="B15" s="142" t="s">
        <v>210</v>
      </c>
      <c r="C15" s="143">
        <v>718</v>
      </c>
      <c r="D15" s="125" t="str">
        <f>"   equivalgono a in "&amp;TEXT(C15/25.4,"0,0")</f>
        <v>   equivalgono a in 28,3</v>
      </c>
      <c r="E15" s="105"/>
    </row>
    <row r="16" spans="1:5" s="101" customFormat="1" ht="13.5" customHeight="1" thickBot="1">
      <c r="A16" s="111"/>
      <c r="B16" s="144" t="s">
        <v>178</v>
      </c>
      <c r="C16" s="145">
        <v>28.25</v>
      </c>
      <c r="D16" s="124" t="str">
        <f>"   equivalgono a mm "&amp;TEXT(C16*25.4,"0")</f>
        <v>   equivalgono a mm 718</v>
      </c>
      <c r="E16" s="107"/>
    </row>
    <row r="17" spans="1:5" s="101" customFormat="1" ht="13.5" customHeight="1" thickBot="1">
      <c r="A17" s="110" t="s">
        <v>105</v>
      </c>
      <c r="B17" s="120"/>
      <c r="C17" s="108" t="s">
        <v>26</v>
      </c>
      <c r="D17" s="183" t="s">
        <v>243</v>
      </c>
      <c r="E17" s="183"/>
    </row>
    <row r="18" spans="1:5" s="101" customFormat="1" ht="13.5" customHeight="1" thickBot="1">
      <c r="A18" s="113"/>
      <c r="B18" s="116" t="s">
        <v>106</v>
      </c>
      <c r="C18" s="104"/>
      <c r="D18" s="183"/>
      <c r="E18" s="183"/>
    </row>
    <row r="19" spans="1:5" s="101" customFormat="1" ht="13.5" customHeight="1" thickBot="1">
      <c r="A19" s="111"/>
      <c r="B19" s="115"/>
      <c r="C19" s="106"/>
      <c r="D19" s="183"/>
      <c r="E19" s="183"/>
    </row>
    <row r="20" spans="1:5" s="101" customFormat="1" ht="13.5" customHeight="1" thickBot="1">
      <c r="A20" s="110" t="s">
        <v>173</v>
      </c>
      <c r="B20" s="120"/>
      <c r="C20" s="108" t="s">
        <v>26</v>
      </c>
      <c r="D20" s="183" t="s">
        <v>217</v>
      </c>
      <c r="E20" s="183"/>
    </row>
    <row r="21" spans="1:5" s="101" customFormat="1" ht="13.5" customHeight="1" thickBot="1">
      <c r="A21" s="113"/>
      <c r="B21" s="116" t="s">
        <v>12</v>
      </c>
      <c r="C21" s="104"/>
      <c r="D21" s="183"/>
      <c r="E21" s="183"/>
    </row>
    <row r="22" spans="1:5" s="101" customFormat="1" ht="13.5" customHeight="1" thickBot="1">
      <c r="A22" s="111"/>
      <c r="B22" s="115"/>
      <c r="C22" s="106"/>
      <c r="D22" s="183"/>
      <c r="E22" s="183"/>
    </row>
    <row r="23" spans="1:5" s="101" customFormat="1" ht="13.5" customHeight="1" thickBot="1">
      <c r="A23" s="110" t="s">
        <v>174</v>
      </c>
      <c r="B23" s="120"/>
      <c r="C23" s="108" t="s">
        <v>52</v>
      </c>
      <c r="D23" s="183" t="s">
        <v>216</v>
      </c>
      <c r="E23" s="183"/>
    </row>
    <row r="24" spans="1:5" s="101" customFormat="1" ht="13.5" customHeight="1" thickBot="1">
      <c r="A24" s="113"/>
      <c r="B24" s="116" t="s">
        <v>13</v>
      </c>
      <c r="C24" s="104"/>
      <c r="D24" s="183"/>
      <c r="E24" s="183"/>
    </row>
    <row r="25" spans="1:5" s="101" customFormat="1" ht="13.5" customHeight="1" thickBot="1">
      <c r="A25" s="111"/>
      <c r="B25" s="115"/>
      <c r="C25" s="106"/>
      <c r="D25" s="183"/>
      <c r="E25" s="183"/>
    </row>
    <row r="26" spans="1:5" s="101" customFormat="1" ht="13.5" customHeight="1" thickBot="1">
      <c r="A26" s="110" t="s">
        <v>165</v>
      </c>
      <c r="B26" s="120"/>
      <c r="C26" s="108" t="s">
        <v>29</v>
      </c>
      <c r="D26" s="183" t="s">
        <v>207</v>
      </c>
      <c r="E26" s="183"/>
    </row>
    <row r="27" spans="1:5" s="101" customFormat="1" ht="13.5" customHeight="1" thickBot="1">
      <c r="A27" s="113"/>
      <c r="B27" s="116" t="s">
        <v>14</v>
      </c>
      <c r="C27" s="104"/>
      <c r="D27" s="183"/>
      <c r="E27" s="183"/>
    </row>
    <row r="28" spans="1:5" s="101" customFormat="1" ht="13.5" customHeight="1" thickBot="1">
      <c r="A28" s="111"/>
      <c r="B28" s="115"/>
      <c r="C28" s="106"/>
      <c r="D28" s="183"/>
      <c r="E28" s="183"/>
    </row>
    <row r="29" spans="1:5" s="101" customFormat="1" ht="13.5" customHeight="1" thickBot="1">
      <c r="A29" s="110" t="s">
        <v>166</v>
      </c>
      <c r="B29" s="120"/>
      <c r="C29" s="108" t="s">
        <v>29</v>
      </c>
      <c r="D29" s="183" t="s">
        <v>168</v>
      </c>
      <c r="E29" s="183"/>
    </row>
    <row r="30" spans="1:5" s="101" customFormat="1" ht="13.5" customHeight="1" thickBot="1">
      <c r="A30" s="113"/>
      <c r="B30" s="116" t="s">
        <v>15</v>
      </c>
      <c r="C30" s="104"/>
      <c r="D30" s="183"/>
      <c r="E30" s="183"/>
    </row>
    <row r="31" spans="1:5" s="101" customFormat="1" ht="13.5" customHeight="1" thickBot="1">
      <c r="A31" s="111"/>
      <c r="B31" s="115"/>
      <c r="C31" s="106"/>
      <c r="D31" s="183"/>
      <c r="E31" s="183"/>
    </row>
    <row r="32" spans="1:5" s="101" customFormat="1" ht="13.5" customHeight="1" thickBot="1">
      <c r="A32" s="110" t="s">
        <v>133</v>
      </c>
      <c r="B32" s="120"/>
      <c r="C32" s="108" t="s">
        <v>26</v>
      </c>
      <c r="D32" s="183" t="s">
        <v>218</v>
      </c>
      <c r="E32" s="183"/>
    </row>
    <row r="33" spans="1:5" s="101" customFormat="1" ht="13.5" customHeight="1" thickBot="1">
      <c r="A33" s="113"/>
      <c r="B33" s="116" t="s">
        <v>151</v>
      </c>
      <c r="C33" s="104"/>
      <c r="D33" s="183"/>
      <c r="E33" s="183"/>
    </row>
    <row r="34" spans="1:5" s="101" customFormat="1" ht="13.5" customHeight="1" thickBot="1">
      <c r="A34" s="111"/>
      <c r="B34" s="115"/>
      <c r="C34" s="106"/>
      <c r="D34" s="183"/>
      <c r="E34" s="183"/>
    </row>
    <row r="35" spans="1:5" s="101" customFormat="1" ht="13.5" customHeight="1" thickBot="1">
      <c r="A35" s="110" t="s">
        <v>140</v>
      </c>
      <c r="B35" s="120"/>
      <c r="C35" s="108"/>
      <c r="D35" s="183" t="s">
        <v>219</v>
      </c>
      <c r="E35" s="183"/>
    </row>
    <row r="36" spans="1:5" s="101" customFormat="1" ht="13.5" customHeight="1" thickBot="1">
      <c r="A36" s="113"/>
      <c r="B36" s="116" t="s">
        <v>87</v>
      </c>
      <c r="C36" s="104"/>
      <c r="D36" s="183"/>
      <c r="E36" s="183"/>
    </row>
    <row r="37" spans="1:5" s="101" customFormat="1" ht="13.5" customHeight="1" thickBot="1">
      <c r="A37" s="111"/>
      <c r="B37" s="115"/>
      <c r="C37" s="106"/>
      <c r="D37" s="183"/>
      <c r="E37" s="183"/>
    </row>
    <row r="38" spans="1:5" s="101" customFormat="1" ht="13.5" customHeight="1" thickBot="1">
      <c r="A38" s="110" t="s">
        <v>255</v>
      </c>
      <c r="B38" s="120"/>
      <c r="C38" s="108" t="s">
        <v>121</v>
      </c>
      <c r="D38" s="183" t="s">
        <v>97</v>
      </c>
      <c r="E38" s="183"/>
    </row>
    <row r="39" spans="1:5" s="101" customFormat="1" ht="13.5" customHeight="1" thickBot="1">
      <c r="A39" s="113"/>
      <c r="B39" s="116" t="s">
        <v>122</v>
      </c>
      <c r="C39" s="104"/>
      <c r="D39" s="183"/>
      <c r="E39" s="183"/>
    </row>
    <row r="40" spans="1:5" s="101" customFormat="1" ht="13.5" customHeight="1" thickBot="1">
      <c r="A40" s="111"/>
      <c r="B40" s="115"/>
      <c r="C40" s="106"/>
      <c r="D40" s="183"/>
      <c r="E40" s="183"/>
    </row>
    <row r="41" spans="1:5" s="101" customFormat="1" ht="13.5" customHeight="1" thickBot="1">
      <c r="A41" s="110" t="s">
        <v>134</v>
      </c>
      <c r="B41" s="120"/>
      <c r="C41" s="108" t="s">
        <v>36</v>
      </c>
      <c r="D41" s="183" t="s">
        <v>240</v>
      </c>
      <c r="E41" s="183"/>
    </row>
    <row r="42" spans="1:5" s="101" customFormat="1" ht="13.5" customHeight="1" thickBot="1">
      <c r="A42" s="113"/>
      <c r="B42" s="116" t="s">
        <v>109</v>
      </c>
      <c r="C42" s="104"/>
      <c r="D42" s="183"/>
      <c r="E42" s="183"/>
    </row>
    <row r="43" spans="1:5" s="101" customFormat="1" ht="13.5" customHeight="1" thickBot="1">
      <c r="A43" s="111"/>
      <c r="B43" s="115"/>
      <c r="C43" s="106"/>
      <c r="D43" s="183"/>
      <c r="E43" s="183"/>
    </row>
    <row r="44" spans="1:5" s="101" customFormat="1" ht="13.5" customHeight="1">
      <c r="A44" s="110" t="s">
        <v>225</v>
      </c>
      <c r="B44" s="120"/>
      <c r="C44" s="108" t="s">
        <v>108</v>
      </c>
      <c r="D44" s="184" t="s">
        <v>252</v>
      </c>
      <c r="E44" s="184"/>
    </row>
    <row r="45" spans="1:5" s="101" customFormat="1" ht="13.5" customHeight="1">
      <c r="A45" s="113"/>
      <c r="B45" s="116" t="s">
        <v>154</v>
      </c>
      <c r="C45" s="104"/>
      <c r="D45" s="185"/>
      <c r="E45" s="185"/>
    </row>
    <row r="46" spans="1:5" s="101" customFormat="1" ht="13.5" customHeight="1">
      <c r="A46" s="113"/>
      <c r="C46" s="104"/>
      <c r="D46" s="185"/>
      <c r="E46" s="185"/>
    </row>
    <row r="47" spans="1:5" s="101" customFormat="1" ht="13.5" customHeight="1">
      <c r="A47" s="114"/>
      <c r="B47" s="142" t="s">
        <v>251</v>
      </c>
      <c r="C47" s="143">
        <v>200</v>
      </c>
      <c r="D47" s="125" t="str">
        <f>"   equivalgono a lb "&amp;TEXT(C47*0.2247,"0,0")</f>
        <v>   equivalgono a lb 44,9</v>
      </c>
      <c r="E47" s="105"/>
    </row>
    <row r="48" spans="1:5" s="101" customFormat="1" ht="13.5" customHeight="1" thickBot="1">
      <c r="A48" s="111"/>
      <c r="B48" s="144" t="s">
        <v>155</v>
      </c>
      <c r="C48" s="146">
        <v>45</v>
      </c>
      <c r="D48" s="124" t="str">
        <f>"   equivalgono a N "&amp;TEXT(C48/0.2247,"0")</f>
        <v>   equivalgono a N 200</v>
      </c>
      <c r="E48" s="107"/>
    </row>
    <row r="49" spans="1:5" s="101" customFormat="1" ht="13.5" customHeight="1" thickBot="1">
      <c r="A49" s="110" t="s">
        <v>226</v>
      </c>
      <c r="B49" s="120"/>
      <c r="C49" s="108" t="s">
        <v>108</v>
      </c>
      <c r="D49" s="183" t="s">
        <v>156</v>
      </c>
      <c r="E49" s="183"/>
    </row>
    <row r="50" spans="1:5" s="101" customFormat="1" ht="13.5" customHeight="1" thickBot="1">
      <c r="A50" s="113"/>
      <c r="B50" s="116" t="s">
        <v>110</v>
      </c>
      <c r="C50" s="104"/>
      <c r="D50" s="183"/>
      <c r="E50" s="183"/>
    </row>
    <row r="51" spans="1:5" s="101" customFormat="1" ht="13.5" customHeight="1" thickBot="1">
      <c r="A51" s="111"/>
      <c r="B51" s="115"/>
      <c r="C51" s="106"/>
      <c r="D51" s="183"/>
      <c r="E51" s="183"/>
    </row>
    <row r="52" spans="1:5" s="101" customFormat="1" ht="13.5" customHeight="1" thickBot="1">
      <c r="A52" s="110" t="s">
        <v>227</v>
      </c>
      <c r="B52" s="120"/>
      <c r="C52" s="108" t="s">
        <v>108</v>
      </c>
      <c r="D52" s="183" t="s">
        <v>220</v>
      </c>
      <c r="E52" s="183"/>
    </row>
    <row r="53" spans="1:5" s="101" customFormat="1" ht="13.5" customHeight="1" thickBot="1">
      <c r="A53" s="113"/>
      <c r="B53" s="116" t="s">
        <v>111</v>
      </c>
      <c r="C53" s="104"/>
      <c r="D53" s="183"/>
      <c r="E53" s="183"/>
    </row>
    <row r="54" spans="1:5" s="101" customFormat="1" ht="13.5" customHeight="1" thickBot="1">
      <c r="A54" s="111"/>
      <c r="B54" s="115"/>
      <c r="C54" s="106"/>
      <c r="D54" s="183"/>
      <c r="E54" s="183"/>
    </row>
    <row r="55" spans="1:5" s="101" customFormat="1" ht="13.5" customHeight="1" thickBot="1">
      <c r="A55" s="110" t="s">
        <v>228</v>
      </c>
      <c r="B55" s="120"/>
      <c r="C55" s="108" t="s">
        <v>108</v>
      </c>
      <c r="D55" s="183" t="s">
        <v>89</v>
      </c>
      <c r="E55" s="183"/>
    </row>
    <row r="56" spans="1:5" s="101" customFormat="1" ht="13.5" customHeight="1" thickBot="1">
      <c r="A56" s="113"/>
      <c r="B56" s="116" t="s">
        <v>112</v>
      </c>
      <c r="C56" s="104"/>
      <c r="D56" s="183"/>
      <c r="E56" s="183"/>
    </row>
    <row r="57" spans="1:5" s="101" customFormat="1" ht="13.5" customHeight="1" thickBot="1">
      <c r="A57" s="111"/>
      <c r="B57" s="115"/>
      <c r="C57" s="106"/>
      <c r="D57" s="183"/>
      <c r="E57" s="183"/>
    </row>
    <row r="58" spans="1:5" s="101" customFormat="1" ht="13.5" customHeight="1" thickBot="1">
      <c r="A58" s="110" t="s">
        <v>135</v>
      </c>
      <c r="B58" s="120"/>
      <c r="C58" s="108" t="s">
        <v>257</v>
      </c>
      <c r="D58" s="183" t="s">
        <v>148</v>
      </c>
      <c r="E58" s="183"/>
    </row>
    <row r="59" spans="1:5" s="101" customFormat="1" ht="13.5" customHeight="1" thickBot="1">
      <c r="A59" s="113"/>
      <c r="B59" s="116" t="s">
        <v>147</v>
      </c>
      <c r="C59" s="104"/>
      <c r="D59" s="183"/>
      <c r="E59" s="183"/>
    </row>
    <row r="60" spans="1:5" s="101" customFormat="1" ht="13.5" customHeight="1" thickBot="1">
      <c r="A60" s="111"/>
      <c r="B60" s="115"/>
      <c r="C60" s="106"/>
      <c r="D60" s="183"/>
      <c r="E60" s="183"/>
    </row>
    <row r="61" spans="1:5" s="101" customFormat="1" ht="13.5" customHeight="1" thickBot="1">
      <c r="A61" s="110" t="s">
        <v>141</v>
      </c>
      <c r="B61" s="120"/>
      <c r="C61" s="108" t="s">
        <v>26</v>
      </c>
      <c r="D61" s="183" t="s">
        <v>90</v>
      </c>
      <c r="E61" s="183"/>
    </row>
    <row r="62" spans="1:5" s="101" customFormat="1" ht="13.5" customHeight="1" thickBot="1">
      <c r="A62" s="113"/>
      <c r="B62" s="116" t="s">
        <v>113</v>
      </c>
      <c r="C62" s="104"/>
      <c r="D62" s="183"/>
      <c r="E62" s="183"/>
    </row>
    <row r="63" spans="1:5" s="101" customFormat="1" ht="13.5" customHeight="1" thickBot="1">
      <c r="A63" s="111"/>
      <c r="B63" s="115"/>
      <c r="C63" s="106"/>
      <c r="D63" s="183"/>
      <c r="E63" s="183"/>
    </row>
    <row r="64" spans="1:5" s="101" customFormat="1" ht="13.5" customHeight="1" thickBot="1">
      <c r="A64" s="110" t="s">
        <v>142</v>
      </c>
      <c r="B64" s="120"/>
      <c r="C64" s="108" t="s">
        <v>26</v>
      </c>
      <c r="D64" s="183" t="s">
        <v>91</v>
      </c>
      <c r="E64" s="183"/>
    </row>
    <row r="65" spans="1:5" s="101" customFormat="1" ht="13.5" customHeight="1" thickBot="1">
      <c r="A65" s="113"/>
      <c r="B65" s="116" t="s">
        <v>114</v>
      </c>
      <c r="C65" s="104"/>
      <c r="D65" s="183"/>
      <c r="E65" s="183"/>
    </row>
    <row r="66" spans="1:5" s="101" customFormat="1" ht="13.5" customHeight="1" thickBot="1">
      <c r="A66" s="111"/>
      <c r="B66" s="115"/>
      <c r="C66" s="106"/>
      <c r="D66" s="183"/>
      <c r="E66" s="183"/>
    </row>
    <row r="67" spans="1:5" s="101" customFormat="1" ht="13.5" customHeight="1">
      <c r="A67" s="110" t="s">
        <v>146</v>
      </c>
      <c r="B67" s="120"/>
      <c r="C67" s="108" t="s">
        <v>31</v>
      </c>
      <c r="D67" s="184" t="s">
        <v>241</v>
      </c>
      <c r="E67" s="184"/>
    </row>
    <row r="68" spans="1:5" s="101" customFormat="1" ht="13.5" customHeight="1">
      <c r="A68" s="114"/>
      <c r="B68" s="116" t="s">
        <v>16</v>
      </c>
      <c r="C68" s="104"/>
      <c r="D68" s="185"/>
      <c r="E68" s="185"/>
    </row>
    <row r="69" spans="1:5" s="101" customFormat="1" ht="13.5" customHeight="1">
      <c r="A69" s="114"/>
      <c r="B69" s="116"/>
      <c r="C69" s="104"/>
      <c r="D69" s="185"/>
      <c r="E69" s="185"/>
    </row>
    <row r="70" spans="1:5" s="101" customFormat="1" ht="13.5" customHeight="1">
      <c r="A70" s="114"/>
      <c r="B70" s="142" t="s">
        <v>213</v>
      </c>
      <c r="C70" s="147">
        <v>15</v>
      </c>
      <c r="D70" s="139"/>
      <c r="E70" s="105"/>
    </row>
    <row r="71" spans="1:5" s="101" customFormat="1" ht="13.5" customHeight="1">
      <c r="A71" s="114"/>
      <c r="B71" s="148" t="s">
        <v>212</v>
      </c>
      <c r="C71" s="149">
        <v>1013</v>
      </c>
      <c r="D71" s="127" t="str">
        <f>"   peso specifico dell'aria = "&amp;TEXT(((uu/100*((1+(tt+40)^4*1.8*10^-6)*18/(pp-(1+(tt+40)^4*1.8*10^-6))/28))+(0.001276*(pp-uu/100*(1+(tt+40)^4*1.8*10^-6))/(1+tt/273))),"0,00")&amp;" kg/m³"</f>
        <v>   peso specifico dell'aria = 1,22 kg/m³</v>
      </c>
      <c r="E71" s="105"/>
    </row>
    <row r="72" spans="1:5" s="101" customFormat="1" ht="13.5" customHeight="1" thickBot="1">
      <c r="A72" s="114"/>
      <c r="B72" s="144" t="s">
        <v>205</v>
      </c>
      <c r="C72" s="150">
        <v>40</v>
      </c>
      <c r="D72" s="128"/>
      <c r="E72" s="105"/>
    </row>
    <row r="73" spans="1:5" s="101" customFormat="1" ht="13.5" customHeight="1" thickBot="1">
      <c r="A73" s="110" t="s">
        <v>229</v>
      </c>
      <c r="B73" s="120"/>
      <c r="C73" s="108"/>
      <c r="D73" s="183" t="s">
        <v>157</v>
      </c>
      <c r="E73" s="183"/>
    </row>
    <row r="74" spans="1:5" s="101" customFormat="1" ht="13.5" customHeight="1" thickBot="1">
      <c r="A74" s="113"/>
      <c r="B74" s="116" t="s">
        <v>92</v>
      </c>
      <c r="C74" s="104"/>
      <c r="D74" s="183"/>
      <c r="E74" s="183"/>
    </row>
    <row r="75" spans="1:5" s="101" customFormat="1" ht="13.5" customHeight="1" thickBot="1">
      <c r="A75" s="111"/>
      <c r="B75" s="115"/>
      <c r="C75" s="106"/>
      <c r="D75" s="183"/>
      <c r="E75" s="183"/>
    </row>
    <row r="76" spans="1:5" s="101" customFormat="1" ht="13.5" customHeight="1" thickBot="1">
      <c r="A76" s="110" t="s">
        <v>230</v>
      </c>
      <c r="B76" s="120"/>
      <c r="C76" s="108"/>
      <c r="D76" s="183" t="s">
        <v>158</v>
      </c>
      <c r="E76" s="183"/>
    </row>
    <row r="77" spans="1:5" s="101" customFormat="1" ht="13.5" customHeight="1" thickBot="1">
      <c r="A77" s="113"/>
      <c r="B77" s="116" t="s">
        <v>93</v>
      </c>
      <c r="C77" s="104"/>
      <c r="D77" s="183"/>
      <c r="E77" s="183"/>
    </row>
    <row r="78" spans="1:5" s="101" customFormat="1" ht="13.5" customHeight="1" thickBot="1">
      <c r="A78" s="111"/>
      <c r="B78" s="115"/>
      <c r="C78" s="106"/>
      <c r="D78" s="183"/>
      <c r="E78" s="183"/>
    </row>
    <row r="79" spans="1:5" s="101" customFormat="1" ht="13.5" customHeight="1">
      <c r="A79" s="110" t="s">
        <v>152</v>
      </c>
      <c r="B79" s="120"/>
      <c r="C79" s="108" t="s">
        <v>36</v>
      </c>
      <c r="D79" s="184" t="s">
        <v>1</v>
      </c>
      <c r="E79" s="184"/>
    </row>
    <row r="80" spans="1:5" s="101" customFormat="1" ht="13.5" customHeight="1">
      <c r="A80" s="113"/>
      <c r="B80" s="116" t="s">
        <v>145</v>
      </c>
      <c r="C80" s="104"/>
      <c r="D80" s="185"/>
      <c r="E80" s="185"/>
    </row>
    <row r="81" spans="1:5" s="101" customFormat="1" ht="13.5" customHeight="1">
      <c r="A81" s="114"/>
      <c r="B81" s="142" t="s">
        <v>209</v>
      </c>
      <c r="C81" s="143">
        <v>15</v>
      </c>
      <c r="D81" s="125" t="str">
        <f>"   equivalgono a ft "&amp;TEXT(C81*3.281,"0,0")</f>
        <v>   equivalgono a ft 49,2</v>
      </c>
      <c r="E81" s="105"/>
    </row>
    <row r="82" spans="1:7" s="101" customFormat="1" ht="13.5" customHeight="1" thickBot="1">
      <c r="A82" s="111"/>
      <c r="B82" s="144" t="s">
        <v>0</v>
      </c>
      <c r="C82" s="146">
        <v>50</v>
      </c>
      <c r="D82" s="124" t="str">
        <f>"   equivalgono a m "&amp;TEXT(C82/3.281,"0,0")</f>
        <v>   equivalgono a m 15,2</v>
      </c>
      <c r="E82" s="123"/>
      <c r="F82" s="103"/>
      <c r="G82" s="103"/>
    </row>
    <row r="83" spans="1:5" s="101" customFormat="1" ht="13.5" customHeight="1" thickBot="1">
      <c r="A83" s="110" t="s">
        <v>153</v>
      </c>
      <c r="B83" s="120"/>
      <c r="C83" s="108" t="s">
        <v>36</v>
      </c>
      <c r="D83" s="183" t="s">
        <v>20</v>
      </c>
      <c r="E83" s="183"/>
    </row>
    <row r="84" spans="1:5" s="101" customFormat="1" ht="13.5" customHeight="1" thickBot="1">
      <c r="A84" s="113"/>
      <c r="B84" s="116" t="s">
        <v>88</v>
      </c>
      <c r="C84" s="104"/>
      <c r="D84" s="183"/>
      <c r="E84" s="183"/>
    </row>
    <row r="85" spans="1:5" s="101" customFormat="1" ht="13.5" customHeight="1" thickBot="1">
      <c r="A85" s="111"/>
      <c r="B85" s="115"/>
      <c r="C85" s="106"/>
      <c r="D85" s="183"/>
      <c r="E85" s="183"/>
    </row>
    <row r="86" spans="1:5" s="101" customFormat="1" ht="13.5" customHeight="1" thickBot="1">
      <c r="A86" s="110" t="s">
        <v>115</v>
      </c>
      <c r="B86" s="120"/>
      <c r="C86" s="108" t="s">
        <v>34</v>
      </c>
      <c r="D86" s="183" t="s">
        <v>159</v>
      </c>
      <c r="E86" s="183"/>
    </row>
    <row r="87" spans="1:5" s="101" customFormat="1" ht="13.5" customHeight="1" thickBot="1">
      <c r="A87" s="113"/>
      <c r="B87" s="116" t="s">
        <v>94</v>
      </c>
      <c r="C87" s="104"/>
      <c r="D87" s="183"/>
      <c r="E87" s="183"/>
    </row>
    <row r="88" spans="1:5" s="101" customFormat="1" ht="13.5" customHeight="1" thickBot="1">
      <c r="A88" s="111"/>
      <c r="B88" s="115"/>
      <c r="C88" s="106"/>
      <c r="D88" s="183"/>
      <c r="E88" s="183"/>
    </row>
    <row r="89" spans="1:5" s="101" customFormat="1" ht="13.5" customHeight="1" thickBot="1">
      <c r="A89" s="110" t="s">
        <v>116</v>
      </c>
      <c r="B89" s="120"/>
      <c r="C89" s="108" t="s">
        <v>29</v>
      </c>
      <c r="D89" s="183" t="s">
        <v>167</v>
      </c>
      <c r="E89" s="183"/>
    </row>
    <row r="90" spans="1:5" s="101" customFormat="1" ht="13.5" customHeight="1" thickBot="1">
      <c r="A90" s="113"/>
      <c r="B90" s="116" t="s">
        <v>95</v>
      </c>
      <c r="C90" s="104"/>
      <c r="D90" s="183"/>
      <c r="E90" s="183"/>
    </row>
    <row r="91" spans="1:5" s="101" customFormat="1" ht="13.5" customHeight="1" thickBot="1">
      <c r="A91" s="111"/>
      <c r="B91" s="115"/>
      <c r="C91" s="106"/>
      <c r="D91" s="183"/>
      <c r="E91" s="183"/>
    </row>
    <row r="92" spans="1:5" s="101" customFormat="1" ht="13.5" customHeight="1" thickBot="1">
      <c r="A92" s="110" t="s">
        <v>231</v>
      </c>
      <c r="B92" s="120"/>
      <c r="C92" s="108" t="s">
        <v>38</v>
      </c>
      <c r="D92" s="183" t="s">
        <v>96</v>
      </c>
      <c r="E92" s="183"/>
    </row>
    <row r="93" spans="1:5" s="101" customFormat="1" ht="13.5" customHeight="1" thickBot="1">
      <c r="A93" s="113"/>
      <c r="B93" s="116" t="s">
        <v>117</v>
      </c>
      <c r="C93" s="104"/>
      <c r="D93" s="183"/>
      <c r="E93" s="183"/>
    </row>
    <row r="94" spans="1:5" s="101" customFormat="1" ht="13.5" customHeight="1" thickBot="1">
      <c r="A94" s="111"/>
      <c r="B94" s="115"/>
      <c r="C94" s="106"/>
      <c r="D94" s="183"/>
      <c r="E94" s="183"/>
    </row>
    <row r="95" spans="1:5" s="101" customFormat="1" ht="13.5" customHeight="1" thickBot="1">
      <c r="A95" s="110" t="s">
        <v>232</v>
      </c>
      <c r="B95" s="120"/>
      <c r="C95" s="108" t="s">
        <v>38</v>
      </c>
      <c r="D95" s="183" t="s">
        <v>221</v>
      </c>
      <c r="E95" s="183"/>
    </row>
    <row r="96" spans="1:5" s="101" customFormat="1" ht="13.5" customHeight="1" thickBot="1">
      <c r="A96" s="113"/>
      <c r="B96" s="116" t="s">
        <v>118</v>
      </c>
      <c r="C96" s="104"/>
      <c r="D96" s="183"/>
      <c r="E96" s="183"/>
    </row>
    <row r="97" spans="1:5" s="101" customFormat="1" ht="13.5" customHeight="1" thickBot="1">
      <c r="A97" s="111"/>
      <c r="B97" s="115"/>
      <c r="C97" s="106"/>
      <c r="D97" s="183"/>
      <c r="E97" s="183"/>
    </row>
    <row r="98" spans="1:5" s="101" customFormat="1" ht="13.5" customHeight="1" thickBot="1">
      <c r="A98" s="110" t="s">
        <v>143</v>
      </c>
      <c r="B98" s="120"/>
      <c r="C98" s="108" t="s">
        <v>26</v>
      </c>
      <c r="D98" s="183" t="s">
        <v>3</v>
      </c>
      <c r="E98" s="183"/>
    </row>
    <row r="99" spans="1:5" s="101" customFormat="1" ht="13.5" customHeight="1" thickBot="1">
      <c r="A99" s="113"/>
      <c r="B99" s="116" t="s">
        <v>17</v>
      </c>
      <c r="C99" s="104"/>
      <c r="D99" s="183"/>
      <c r="E99" s="183"/>
    </row>
    <row r="100" spans="1:5" s="101" customFormat="1" ht="13.5" customHeight="1" thickBot="1">
      <c r="A100" s="111"/>
      <c r="B100" s="115"/>
      <c r="C100" s="106"/>
      <c r="D100" s="183"/>
      <c r="E100" s="183"/>
    </row>
    <row r="101" spans="1:5" s="101" customFormat="1" ht="13.5" customHeight="1">
      <c r="A101" s="110" t="s">
        <v>144</v>
      </c>
      <c r="B101" s="120"/>
      <c r="C101" s="108" t="s">
        <v>26</v>
      </c>
      <c r="D101" s="184" t="s">
        <v>222</v>
      </c>
      <c r="E101" s="184"/>
    </row>
    <row r="102" spans="1:5" s="101" customFormat="1" ht="13.5" customHeight="1">
      <c r="A102" s="113"/>
      <c r="B102" s="116" t="s">
        <v>119</v>
      </c>
      <c r="C102" s="104"/>
      <c r="D102" s="185"/>
      <c r="E102" s="185"/>
    </row>
    <row r="103" spans="1:5" s="101" customFormat="1" ht="13.5" customHeight="1" thickBot="1">
      <c r="A103" s="114"/>
      <c r="B103" s="116"/>
      <c r="C103" s="104"/>
      <c r="D103" s="185"/>
      <c r="E103" s="185"/>
    </row>
    <row r="104" spans="1:5" s="101" customFormat="1" ht="13.5" customHeight="1">
      <c r="A104" s="110" t="s">
        <v>160</v>
      </c>
      <c r="B104" s="120"/>
      <c r="C104" s="108" t="s">
        <v>24</v>
      </c>
      <c r="D104" s="184" t="s">
        <v>9</v>
      </c>
      <c r="E104" s="184"/>
    </row>
    <row r="105" spans="1:5" s="101" customFormat="1" ht="13.5" customHeight="1">
      <c r="A105" s="113"/>
      <c r="B105" s="116" t="s">
        <v>120</v>
      </c>
      <c r="C105" s="104"/>
      <c r="D105" s="185"/>
      <c r="E105" s="185"/>
    </row>
    <row r="106" spans="1:5" s="101" customFormat="1" ht="13.5" customHeight="1">
      <c r="A106" s="114"/>
      <c r="B106" s="116"/>
      <c r="C106" s="104"/>
      <c r="D106" s="185"/>
      <c r="E106" s="185"/>
    </row>
    <row r="107" spans="1:5" s="101" customFormat="1" ht="13.5" customHeight="1">
      <c r="A107" s="114"/>
      <c r="B107" s="142" t="s">
        <v>211</v>
      </c>
      <c r="C107" s="151">
        <v>8.3</v>
      </c>
      <c r="D107" s="125" t="str">
        <f>"   equivalgono a gr "&amp;TEXT(C107/0.0648,"0")</f>
        <v>   equivalgono a gr 128</v>
      </c>
      <c r="E107" s="105"/>
    </row>
    <row r="108" spans="1:5" s="101" customFormat="1" ht="13.5" customHeight="1" thickBot="1">
      <c r="A108" s="111"/>
      <c r="B108" s="144" t="s">
        <v>2</v>
      </c>
      <c r="C108" s="146">
        <v>128</v>
      </c>
      <c r="D108" s="124" t="str">
        <f>"   equivalgono a g "&amp;TEXT(C108*0.0648,"0,0")</f>
        <v>   equivalgono a g 8,3</v>
      </c>
      <c r="E108" s="107"/>
    </row>
    <row r="109" spans="1:5" s="101" customFormat="1" ht="13.5" customHeight="1">
      <c r="A109" s="110" t="s">
        <v>4</v>
      </c>
      <c r="B109" s="120"/>
      <c r="C109" s="108"/>
      <c r="D109" s="184" t="s">
        <v>223</v>
      </c>
      <c r="E109" s="184"/>
    </row>
    <row r="110" spans="1:5" s="101" customFormat="1" ht="13.5" customHeight="1">
      <c r="A110" s="113"/>
      <c r="B110" s="116" t="s">
        <v>18</v>
      </c>
      <c r="C110" s="104"/>
      <c r="D110" s="185"/>
      <c r="E110" s="185"/>
    </row>
    <row r="111" spans="1:5" s="101" customFormat="1" ht="13.5" customHeight="1">
      <c r="A111" s="113"/>
      <c r="C111" s="104"/>
      <c r="D111" s="185"/>
      <c r="E111" s="185"/>
    </row>
    <row r="112" spans="1:5" s="101" customFormat="1" ht="13.5" customHeight="1">
      <c r="A112" s="114"/>
      <c r="B112" s="142" t="s">
        <v>161</v>
      </c>
      <c r="C112" s="152">
        <v>2213</v>
      </c>
      <c r="D112" s="125" t="str">
        <f>"   diametro esterno = mm "&amp;TEXT(TRUNC(C112/100)*25.4/64,"0,0")&amp;"  ;  spessore = mm "&amp;TEXT(MOD(C112,100)*25.4/1000,"0,00")</f>
        <v>   diametro esterno = mm 8,7  ;  spessore = mm 0,33</v>
      </c>
      <c r="E112" s="105"/>
    </row>
    <row r="113" spans="1:5" s="101" customFormat="1" ht="13.5" customHeight="1" thickBot="1">
      <c r="A113" s="111"/>
      <c r="B113" s="144" t="s">
        <v>162</v>
      </c>
      <c r="C113" s="146">
        <v>760</v>
      </c>
      <c r="D113" s="124" t="str">
        <f>"   massa dell'asta = g "&amp;TEXT((TRUNC(C112/100)*25.4/64-MOD(C112,100)*25.4/1000)*MOD(C112,100)*25.4/1000*PI()*C113/1000*2.8,"0,0")</f>
        <v>   massa dell'asta = g 18,5</v>
      </c>
      <c r="E113" s="107"/>
    </row>
    <row r="114" spans="1:5" s="101" customFormat="1" ht="13.5" customHeight="1" thickBot="1">
      <c r="A114" s="110" t="s">
        <v>7</v>
      </c>
      <c r="B114" s="120"/>
      <c r="C114" s="108"/>
      <c r="D114" s="183" t="s">
        <v>8</v>
      </c>
      <c r="E114" s="183"/>
    </row>
    <row r="115" spans="1:5" s="101" customFormat="1" ht="13.5" customHeight="1" thickBot="1">
      <c r="A115" s="113"/>
      <c r="B115" s="116" t="s">
        <v>5</v>
      </c>
      <c r="C115" s="104"/>
      <c r="D115" s="183"/>
      <c r="E115" s="183"/>
    </row>
    <row r="116" spans="1:5" s="101" customFormat="1" ht="13.5" customHeight="1" thickBot="1">
      <c r="A116" s="112"/>
      <c r="B116" s="115"/>
      <c r="C116" s="106"/>
      <c r="D116" s="183"/>
      <c r="E116" s="183"/>
    </row>
    <row r="117" spans="1:5" s="101" customFormat="1" ht="13.5" customHeight="1" thickBot="1">
      <c r="A117" s="110" t="s">
        <v>136</v>
      </c>
      <c r="B117" s="120"/>
      <c r="C117" s="108" t="s">
        <v>29</v>
      </c>
      <c r="D117" s="183" t="s">
        <v>224</v>
      </c>
      <c r="E117" s="183"/>
    </row>
    <row r="118" spans="1:5" s="101" customFormat="1" ht="13.5" customHeight="1" thickBot="1">
      <c r="A118" s="113"/>
      <c r="B118" s="116" t="s">
        <v>22</v>
      </c>
      <c r="C118" s="104"/>
      <c r="D118" s="183"/>
      <c r="E118" s="183"/>
    </row>
    <row r="119" spans="1:5" s="101" customFormat="1" ht="13.5" customHeight="1" thickBot="1">
      <c r="A119" s="112"/>
      <c r="B119" s="115"/>
      <c r="C119" s="106"/>
      <c r="D119" s="183"/>
      <c r="E119" s="183"/>
    </row>
    <row r="120" spans="1:5" s="101" customFormat="1" ht="13.5" customHeight="1" thickBot="1">
      <c r="A120" s="110" t="s">
        <v>137</v>
      </c>
      <c r="B120" s="120"/>
      <c r="C120" s="108" t="s">
        <v>108</v>
      </c>
      <c r="D120" s="183" t="s">
        <v>163</v>
      </c>
      <c r="E120" s="183"/>
    </row>
    <row r="121" spans="1:5" s="101" customFormat="1" ht="13.5" customHeight="1" thickBot="1">
      <c r="A121" s="113"/>
      <c r="B121" s="116" t="s">
        <v>123</v>
      </c>
      <c r="C121" s="104"/>
      <c r="D121" s="183"/>
      <c r="E121" s="183"/>
    </row>
    <row r="122" spans="1:5" s="101" customFormat="1" ht="13.5" customHeight="1" thickBot="1">
      <c r="A122" s="111"/>
      <c r="B122" s="115"/>
      <c r="C122" s="106"/>
      <c r="D122" s="183"/>
      <c r="E122" s="183"/>
    </row>
    <row r="123" spans="1:5" s="101" customFormat="1" ht="13.5" customHeight="1" thickBot="1">
      <c r="A123" s="110" t="s">
        <v>169</v>
      </c>
      <c r="B123" s="120"/>
      <c r="C123" s="108"/>
      <c r="D123" s="183" t="s">
        <v>171</v>
      </c>
      <c r="E123" s="183"/>
    </row>
    <row r="124" spans="1:5" s="101" customFormat="1" ht="13.5" customHeight="1" thickBot="1">
      <c r="A124" s="113"/>
      <c r="B124" s="116" t="s">
        <v>10</v>
      </c>
      <c r="C124" s="104"/>
      <c r="D124" s="183"/>
      <c r="E124" s="183"/>
    </row>
    <row r="125" spans="1:5" s="101" customFormat="1" ht="13.5" customHeight="1" thickBot="1">
      <c r="A125" s="111"/>
      <c r="B125" s="115"/>
      <c r="C125" s="106"/>
      <c r="D125" s="183"/>
      <c r="E125" s="183"/>
    </row>
    <row r="126" spans="1:5" s="101" customFormat="1" ht="13.5" customHeight="1" thickBot="1">
      <c r="A126" s="110" t="s">
        <v>170</v>
      </c>
      <c r="B126" s="120"/>
      <c r="C126" s="108"/>
      <c r="D126" s="183" t="s">
        <v>172</v>
      </c>
      <c r="E126" s="183"/>
    </row>
    <row r="127" spans="1:5" s="101" customFormat="1" ht="13.5" customHeight="1" thickBot="1">
      <c r="A127" s="113"/>
      <c r="B127" s="116" t="s">
        <v>11</v>
      </c>
      <c r="C127" s="104"/>
      <c r="D127" s="183"/>
      <c r="E127" s="183"/>
    </row>
    <row r="128" spans="1:5" s="101" customFormat="1" ht="13.5" customHeight="1" thickBot="1">
      <c r="A128" s="111"/>
      <c r="B128" s="115"/>
      <c r="C128" s="106"/>
      <c r="D128" s="183"/>
      <c r="E128" s="183"/>
    </row>
    <row r="129" spans="1:5" s="101" customFormat="1" ht="13.5" customHeight="1" thickBot="1">
      <c r="A129" s="110" t="s">
        <v>233</v>
      </c>
      <c r="B129" s="120"/>
      <c r="C129" s="108" t="s">
        <v>24</v>
      </c>
      <c r="D129" s="183" t="s">
        <v>164</v>
      </c>
      <c r="E129" s="183"/>
    </row>
    <row r="130" spans="1:5" s="101" customFormat="1" ht="13.5" customHeight="1" thickBot="1">
      <c r="A130" s="113"/>
      <c r="B130" s="116" t="s">
        <v>124</v>
      </c>
      <c r="C130" s="104"/>
      <c r="D130" s="183"/>
      <c r="E130" s="183"/>
    </row>
    <row r="131" spans="1:5" s="101" customFormat="1" ht="13.5" customHeight="1" thickBot="1">
      <c r="A131" s="111"/>
      <c r="B131" s="115"/>
      <c r="C131" s="106"/>
      <c r="D131" s="183"/>
      <c r="E131" s="183"/>
    </row>
    <row r="132" spans="1:5" s="101" customFormat="1" ht="13.5" customHeight="1" thickBot="1">
      <c r="A132" s="110" t="s">
        <v>234</v>
      </c>
      <c r="B132" s="120"/>
      <c r="C132" s="108" t="s">
        <v>121</v>
      </c>
      <c r="D132" s="183" t="s">
        <v>98</v>
      </c>
      <c r="E132" s="183"/>
    </row>
    <row r="133" spans="1:5" s="101" customFormat="1" ht="13.5" customHeight="1" thickBot="1">
      <c r="A133" s="113"/>
      <c r="B133" s="116" t="s">
        <v>125</v>
      </c>
      <c r="C133" s="104"/>
      <c r="D133" s="183"/>
      <c r="E133" s="183"/>
    </row>
    <row r="134" spans="1:5" s="101" customFormat="1" ht="13.5" customHeight="1" thickBot="1">
      <c r="A134" s="111"/>
      <c r="B134" s="115"/>
      <c r="C134" s="106"/>
      <c r="D134" s="183"/>
      <c r="E134" s="183"/>
    </row>
    <row r="135" spans="1:5" s="101" customFormat="1" ht="13.5" customHeight="1" thickBot="1">
      <c r="A135" s="110" t="s">
        <v>175</v>
      </c>
      <c r="B135" s="120"/>
      <c r="C135" s="108" t="s">
        <v>36</v>
      </c>
      <c r="D135" s="183" t="s">
        <v>176</v>
      </c>
      <c r="E135" s="183"/>
    </row>
    <row r="136" spans="1:5" s="101" customFormat="1" ht="13.5" customHeight="1" thickBot="1">
      <c r="A136" s="113"/>
      <c r="B136" s="116" t="s">
        <v>19</v>
      </c>
      <c r="C136" s="104"/>
      <c r="D136" s="183"/>
      <c r="E136" s="183"/>
    </row>
    <row r="137" spans="1:5" s="101" customFormat="1" ht="13.5" customHeight="1" thickBot="1">
      <c r="A137" s="111"/>
      <c r="B137" s="115"/>
      <c r="C137" s="106"/>
      <c r="D137" s="183"/>
      <c r="E137" s="183"/>
    </row>
    <row r="138" spans="1:5" s="101" customFormat="1" ht="13.5" customHeight="1" thickBot="1">
      <c r="A138" s="110" t="s">
        <v>235</v>
      </c>
      <c r="B138" s="120"/>
      <c r="C138" s="108" t="s">
        <v>126</v>
      </c>
      <c r="D138" s="183" t="s">
        <v>258</v>
      </c>
      <c r="E138" s="183"/>
    </row>
    <row r="139" spans="1:5" s="101" customFormat="1" ht="13.5" customHeight="1" thickBot="1">
      <c r="A139" s="113"/>
      <c r="B139" s="116" t="s">
        <v>21</v>
      </c>
      <c r="C139" s="104"/>
      <c r="D139" s="183"/>
      <c r="E139" s="183"/>
    </row>
    <row r="140" spans="1:5" s="101" customFormat="1" ht="13.5" customHeight="1" thickBot="1">
      <c r="A140" s="111"/>
      <c r="B140" s="115"/>
      <c r="C140" s="106"/>
      <c r="D140" s="183"/>
      <c r="E140" s="183"/>
    </row>
    <row r="141" spans="1:5" s="101" customFormat="1" ht="13.5" customHeight="1" thickBot="1">
      <c r="A141" s="110" t="s">
        <v>254</v>
      </c>
      <c r="B141" s="120"/>
      <c r="C141" s="108" t="s">
        <v>121</v>
      </c>
      <c r="D141" s="183" t="s">
        <v>99</v>
      </c>
      <c r="E141" s="183"/>
    </row>
    <row r="142" spans="1:5" s="101" customFormat="1" ht="13.5" customHeight="1" thickBot="1">
      <c r="A142" s="113"/>
      <c r="B142" s="116" t="s">
        <v>127</v>
      </c>
      <c r="C142" s="104"/>
      <c r="D142" s="183"/>
      <c r="E142" s="183"/>
    </row>
    <row r="143" spans="1:5" s="101" customFormat="1" ht="13.5" customHeight="1" thickBot="1">
      <c r="A143" s="111"/>
      <c r="B143" s="115"/>
      <c r="C143" s="106"/>
      <c r="D143" s="183"/>
      <c r="E143" s="183"/>
    </row>
    <row r="144" spans="1:5" s="101" customFormat="1" ht="13.5" customHeight="1" thickBot="1">
      <c r="A144" s="110" t="s">
        <v>236</v>
      </c>
      <c r="B144" s="120"/>
      <c r="C144" s="108" t="s">
        <v>121</v>
      </c>
      <c r="D144" s="183" t="s">
        <v>100</v>
      </c>
      <c r="E144" s="183"/>
    </row>
    <row r="145" spans="1:5" s="101" customFormat="1" ht="13.5" customHeight="1" thickBot="1">
      <c r="A145" s="113"/>
      <c r="B145" s="116" t="s">
        <v>128</v>
      </c>
      <c r="C145" s="104"/>
      <c r="D145" s="183"/>
      <c r="E145" s="183"/>
    </row>
    <row r="146" spans="1:5" s="101" customFormat="1" ht="13.5" customHeight="1" thickBot="1">
      <c r="A146" s="111"/>
      <c r="B146" s="115"/>
      <c r="C146" s="106"/>
      <c r="D146" s="183"/>
      <c r="E146" s="183"/>
    </row>
    <row r="147" spans="1:5" s="101" customFormat="1" ht="13.5" customHeight="1" thickBot="1">
      <c r="A147" s="110" t="s">
        <v>138</v>
      </c>
      <c r="B147" s="120"/>
      <c r="C147" s="108" t="s">
        <v>37</v>
      </c>
      <c r="D147" s="183" t="s">
        <v>177</v>
      </c>
      <c r="E147" s="183"/>
    </row>
    <row r="148" spans="1:5" s="101" customFormat="1" ht="13.5" customHeight="1" thickBot="1">
      <c r="A148" s="113"/>
      <c r="B148" s="116" t="s">
        <v>101</v>
      </c>
      <c r="C148" s="104"/>
      <c r="D148" s="183"/>
      <c r="E148" s="183"/>
    </row>
    <row r="149" spans="1:5" s="101" customFormat="1" ht="13.5" customHeight="1" thickBot="1">
      <c r="A149" s="111"/>
      <c r="B149" s="115"/>
      <c r="C149" s="106"/>
      <c r="D149" s="183"/>
      <c r="E149" s="183"/>
    </row>
    <row r="150" spans="1:5" s="101" customFormat="1" ht="13.5" customHeight="1" thickBot="1">
      <c r="A150" s="110" t="s">
        <v>102</v>
      </c>
      <c r="B150" s="120"/>
      <c r="C150" s="108"/>
      <c r="D150" s="183" t="s">
        <v>103</v>
      </c>
      <c r="E150" s="183"/>
    </row>
    <row r="151" spans="1:5" s="101" customFormat="1" ht="13.5" customHeight="1" thickBot="1">
      <c r="A151" s="113"/>
      <c r="B151" s="116" t="s">
        <v>102</v>
      </c>
      <c r="C151" s="104"/>
      <c r="D151" s="183"/>
      <c r="E151" s="183"/>
    </row>
    <row r="152" spans="1:5" s="101" customFormat="1" ht="13.5" customHeight="1" thickBot="1">
      <c r="A152" s="111"/>
      <c r="B152" s="115"/>
      <c r="C152" s="106"/>
      <c r="D152" s="183"/>
      <c r="E152" s="183"/>
    </row>
    <row r="153" spans="1:5" s="101" customFormat="1" ht="13.5" customHeight="1" thickBot="1">
      <c r="A153" s="110" t="s">
        <v>237</v>
      </c>
      <c r="B153" s="120"/>
      <c r="C153" s="108" t="s">
        <v>33</v>
      </c>
      <c r="D153" s="183" t="s">
        <v>104</v>
      </c>
      <c r="E153" s="183"/>
    </row>
    <row r="154" spans="1:5" s="101" customFormat="1" ht="13.5" customHeight="1" thickBot="1">
      <c r="A154" s="113"/>
      <c r="B154" s="116" t="s">
        <v>129</v>
      </c>
      <c r="C154" s="104"/>
      <c r="D154" s="183"/>
      <c r="E154" s="183"/>
    </row>
    <row r="155" spans="1:5" s="101" customFormat="1" ht="13.5" customHeight="1" thickBot="1">
      <c r="A155" s="111"/>
      <c r="B155" s="115"/>
      <c r="C155" s="106"/>
      <c r="D155" s="183"/>
      <c r="E155" s="183"/>
    </row>
    <row r="156" spans="1:5" s="101" customFormat="1" ht="13.5" customHeight="1">
      <c r="A156" s="113" t="s">
        <v>238</v>
      </c>
      <c r="B156" s="120"/>
      <c r="C156" s="104" t="s">
        <v>33</v>
      </c>
      <c r="D156" s="184" t="s">
        <v>239</v>
      </c>
      <c r="E156" s="184"/>
    </row>
    <row r="157" spans="1:5" s="101" customFormat="1" ht="13.5" customHeight="1">
      <c r="A157" s="113"/>
      <c r="B157" s="116" t="s">
        <v>130</v>
      </c>
      <c r="C157" s="104"/>
      <c r="D157" s="185"/>
      <c r="E157" s="185"/>
    </row>
    <row r="158" spans="1:5" s="101" customFormat="1" ht="13.5" customHeight="1">
      <c r="A158" s="102"/>
      <c r="B158" s="138"/>
      <c r="C158" s="104"/>
      <c r="D158" s="185"/>
      <c r="E158" s="185"/>
    </row>
    <row r="159" spans="1:7" ht="13.5" customHeight="1">
      <c r="A159" s="109"/>
      <c r="B159" s="117"/>
      <c r="C159" s="109"/>
      <c r="D159" s="109"/>
      <c r="E159" s="109"/>
      <c r="F159" s="109"/>
      <c r="G159" s="109"/>
    </row>
    <row r="160" ht="13.5" customHeight="1">
      <c r="B160" s="119"/>
    </row>
  </sheetData>
  <sheetProtection password="E876" sheet="1" objects="1" scenarios="1"/>
  <mergeCells count="46">
    <mergeCell ref="D153:E155"/>
    <mergeCell ref="D156:E158"/>
    <mergeCell ref="D126:E128"/>
    <mergeCell ref="D114:E116"/>
    <mergeCell ref="D132:E134"/>
    <mergeCell ref="D138:E140"/>
    <mergeCell ref="D141:E143"/>
    <mergeCell ref="D144:E146"/>
    <mergeCell ref="D135:E137"/>
    <mergeCell ref="D123:E125"/>
    <mergeCell ref="D35:E37"/>
    <mergeCell ref="D79:E80"/>
    <mergeCell ref="D29:E31"/>
    <mergeCell ref="D73:E75"/>
    <mergeCell ref="D76:E78"/>
    <mergeCell ref="D67:E69"/>
    <mergeCell ref="D38:E40"/>
    <mergeCell ref="D9:E11"/>
    <mergeCell ref="D83:E85"/>
    <mergeCell ref="D41:E43"/>
    <mergeCell ref="D44:E46"/>
    <mergeCell ref="D49:E51"/>
    <mergeCell ref="D52:E54"/>
    <mergeCell ref="D55:E57"/>
    <mergeCell ref="D58:E60"/>
    <mergeCell ref="D61:E63"/>
    <mergeCell ref="D64:E66"/>
    <mergeCell ref="D17:E19"/>
    <mergeCell ref="D12:E14"/>
    <mergeCell ref="D32:E34"/>
    <mergeCell ref="D26:E28"/>
    <mergeCell ref="D20:E22"/>
    <mergeCell ref="D23:E25"/>
    <mergeCell ref="D98:E100"/>
    <mergeCell ref="D101:E103"/>
    <mergeCell ref="D104:E106"/>
    <mergeCell ref="D109:E111"/>
    <mergeCell ref="D86:E88"/>
    <mergeCell ref="D89:E91"/>
    <mergeCell ref="D92:E94"/>
    <mergeCell ref="D95:E97"/>
    <mergeCell ref="D150:E152"/>
    <mergeCell ref="D129:E131"/>
    <mergeCell ref="D117:E119"/>
    <mergeCell ref="D120:E122"/>
    <mergeCell ref="D147:E149"/>
  </mergeCells>
  <printOptions/>
  <pageMargins left="0.7086614173228347" right="0.7086614173228347" top="0.7874015748031497" bottom="0.7086614173228347" header="0.5118110236220472" footer="0.5118110236220472"/>
  <pageSetup fitToHeight="0" fitToWidth="1" orientation="portrait" paperSize="9" scale="64" r:id="rId1"/>
  <headerFooter alignWithMargins="0">
    <oddFooter>&amp;CPagina &amp;P di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calcolo delle traiettorie</dc:title>
  <dc:subject>Calcolo delle traiettorie</dc:subject>
  <dc:creator>M.&amp;R.Ostidich</dc:creator>
  <cp:keywords/>
  <dc:description/>
  <cp:lastModifiedBy>Ostidich</cp:lastModifiedBy>
  <cp:lastPrinted>2007-02-24T17:47:44Z</cp:lastPrinted>
  <dcterms:created xsi:type="dcterms:W3CDTF">2007-02-11T22:12:34Z</dcterms:created>
  <dcterms:modified xsi:type="dcterms:W3CDTF">2010-12-09T17:10:02Z</dcterms:modified>
  <cp:category/>
  <cp:version/>
  <cp:contentType/>
  <cp:contentStatus/>
</cp:coreProperties>
</file>