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firstSheet="1" activeTab="1"/>
  </bookViews>
  <sheets>
    <sheet name="FRECCIA" sheetId="1" r:id="rId1"/>
    <sheet name="FRECCE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<sst xmlns="http://schemas.openxmlformats.org/spreadsheetml/2006/main" count="373" uniqueCount="268">
  <si>
    <t>kg</t>
  </si>
  <si>
    <t>m</t>
  </si>
  <si>
    <t>s</t>
  </si>
  <si>
    <t>m/s</t>
  </si>
  <si>
    <t>mm</t>
  </si>
  <si>
    <t>g</t>
  </si>
  <si>
    <t>Hz</t>
  </si>
  <si>
    <t>kg/gr</t>
  </si>
  <si>
    <t>Ta</t>
  </si>
  <si>
    <t>N</t>
  </si>
  <si>
    <t>Massa virtuale dell'arco</t>
  </si>
  <si>
    <t>Lunghezza della freccia</t>
  </si>
  <si>
    <t>Lf</t>
  </si>
  <si>
    <t>Øe </t>
  </si>
  <si>
    <t>Diametro interno dell'asta</t>
  </si>
  <si>
    <t>Øi</t>
  </si>
  <si>
    <t>E</t>
  </si>
  <si>
    <t>Rp</t>
  </si>
  <si>
    <t>Momento d'inerzia dell'asta</t>
  </si>
  <si>
    <t>J</t>
  </si>
  <si>
    <t>Massa dell'asta</t>
  </si>
  <si>
    <t>Ma</t>
  </si>
  <si>
    <t>Mp</t>
  </si>
  <si>
    <t>Massa delle alette PVC 4"</t>
  </si>
  <si>
    <t>Massa della cocca</t>
  </si>
  <si>
    <t>Mc</t>
  </si>
  <si>
    <t>Massa totale della freccia</t>
  </si>
  <si>
    <t>Mf</t>
  </si>
  <si>
    <t>N/lb</t>
  </si>
  <si>
    <t>lb/kg</t>
  </si>
  <si>
    <t>γ</t>
  </si>
  <si>
    <t>%</t>
  </si>
  <si>
    <t>Tipo di arco</t>
  </si>
  <si>
    <t>#</t>
  </si>
  <si>
    <t>Lega della freccia</t>
  </si>
  <si>
    <t>pi greco</t>
  </si>
  <si>
    <t>gr</t>
  </si>
  <si>
    <t>FOC baricentro</t>
  </si>
  <si>
    <t>To</t>
  </si>
  <si>
    <t>Fo</t>
  </si>
  <si>
    <t>= 1 / To</t>
  </si>
  <si>
    <t>Vf</t>
  </si>
  <si>
    <t>amax</t>
  </si>
  <si>
    <t>fs</t>
  </si>
  <si>
    <t>qmax</t>
  </si>
  <si>
    <t>fmax</t>
  </si>
  <si>
    <t>= 2#·(Lf3-1") / (48·E ·J)</t>
  </si>
  <si>
    <t>in/1000</t>
  </si>
  <si>
    <t>= 8·J·Rp / (Lf*Øe)</t>
  </si>
  <si>
    <t>= Ta / (Mf+mf)</t>
  </si>
  <si>
    <t>RICURVO!!!</t>
  </si>
  <si>
    <t>qc</t>
  </si>
  <si>
    <t>qp</t>
  </si>
  <si>
    <t>= Mp·amax</t>
  </si>
  <si>
    <t>T#</t>
  </si>
  <si>
    <t>R=ricurvo ; C=compound</t>
  </si>
  <si>
    <t>R</t>
  </si>
  <si>
    <t>2024 ; 7075</t>
  </si>
  <si>
    <t>= T# ·4,45</t>
  </si>
  <si>
    <t>Libbraggio nominale</t>
  </si>
  <si>
    <t>Diametro esterno dell'asta</t>
  </si>
  <si>
    <t>Spessore dell'asta</t>
  </si>
  <si>
    <t>Densità lega</t>
  </si>
  <si>
    <t>Modulo d'elasticità lega</t>
  </si>
  <si>
    <t>Carico limite d'elasticità lega</t>
  </si>
  <si>
    <t>CONVERSIONI</t>
  </si>
  <si>
    <t>newton / libbra</t>
  </si>
  <si>
    <t>libbra /chilogrammo</t>
  </si>
  <si>
    <t>chilogrammo / grano</t>
  </si>
  <si>
    <t>COSTANTI</t>
  </si>
  <si>
    <t>= 21·25,4 / 64</t>
  </si>
  <si>
    <t>= 14·25,4 / 1000</t>
  </si>
  <si>
    <t>= π·(Øe^4 -Øi^4) / 64</t>
  </si>
  <si>
    <t>Spine dell'asta della freccia</t>
  </si>
  <si>
    <t>Carico a flessione massimo</t>
  </si>
  <si>
    <t>Flessione elastica massima</t>
  </si>
  <si>
    <t>= π^2·E·J / Lf^2</t>
  </si>
  <si>
    <t>Tipo di alette</t>
  </si>
  <si>
    <t>N=naturali ; P=PVC</t>
  </si>
  <si>
    <t>P</t>
  </si>
  <si>
    <t>in</t>
  </si>
  <si>
    <t>Numero di alette</t>
  </si>
  <si>
    <t>Posizione baricentro della freccia</t>
  </si>
  <si>
    <t>metri / pollice</t>
  </si>
  <si>
    <t>m/in</t>
  </si>
  <si>
    <t>Periodo di oscillazione</t>
  </si>
  <si>
    <t>Frequenza di oscillazione</t>
  </si>
  <si>
    <t>Velocità iniziale della freccia</t>
  </si>
  <si>
    <t>Accelerazione massima della freccia</t>
  </si>
  <si>
    <t>Carico critico di punta</t>
  </si>
  <si>
    <t>Carico dinamico dalla punta</t>
  </si>
  <si>
    <t>Rapporto energia/carico presunto</t>
  </si>
  <si>
    <t>J/N</t>
  </si>
  <si>
    <t>= Ta·K</t>
  </si>
  <si>
    <t>K</t>
  </si>
  <si>
    <t>Tipo di freccia Easton</t>
  </si>
  <si>
    <t>Energia cinetica della freccia</t>
  </si>
  <si>
    <t>Wf</t>
  </si>
  <si>
    <t>Wa</t>
  </si>
  <si>
    <t>Energia accumulata dall'arco</t>
  </si>
  <si>
    <t>= Wa·Mf / (Mf+mv)</t>
  </si>
  <si>
    <t>= (2·Wf / Mf)^½</t>
  </si>
  <si>
    <t>= π·[(Ma·Lf^3) / (48·E·J)]^½</t>
  </si>
  <si>
    <t>Libbraggio dell'arco in newton</t>
  </si>
  <si>
    <t>Nibb 9%</t>
  </si>
  <si>
    <t>Massa della punta in grani</t>
  </si>
  <si>
    <t>Massa della punta in chilogrammi</t>
  </si>
  <si>
    <t>Lunghezza delle alette in pollici</t>
  </si>
  <si>
    <t>= Øe - 2·s</t>
  </si>
  <si>
    <t>= fs/0,0000254</t>
  </si>
  <si>
    <t>Flessione della freccia per due libbre</t>
  </si>
  <si>
    <r>
      <t>m</t>
    </r>
    <r>
      <rPr>
        <vertAlign val="subscript"/>
        <sz val="10"/>
        <rFont val="Arial"/>
        <family val="2"/>
      </rPr>
      <t>v</t>
    </r>
  </si>
  <si>
    <r>
      <t>kg/m</t>
    </r>
    <r>
      <rPr>
        <vertAlign val="superscript"/>
        <sz val="10"/>
        <rFont val="Arial"/>
        <family val="2"/>
      </rPr>
      <t>3</t>
    </r>
  </si>
  <si>
    <r>
      <t>N/m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</si>
  <si>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4</t>
    </r>
  </si>
  <si>
    <t>= Lf·γ·π·(Øe^2 -Øi^2) /4</t>
  </si>
  <si>
    <t>= Rp·Lf^2 / (6·E·Øe)</t>
  </si>
  <si>
    <r>
      <t>m/s</t>
    </r>
    <r>
      <rPr>
        <vertAlign val="superscript"/>
        <sz val="10"/>
        <rFont val="Arial"/>
        <family val="2"/>
      </rPr>
      <t>2</t>
    </r>
  </si>
  <si>
    <t>Coefficiente balistico</t>
  </si>
  <si>
    <t>CB</t>
  </si>
  <si>
    <t>Coefficiente di resistenza</t>
  </si>
  <si>
    <t>Cr</t>
  </si>
  <si>
    <t>alette P=1,6 ; N=1,9</t>
  </si>
  <si>
    <t>= Mf / [(Øe/2)^2·π·Cr)]</t>
  </si>
  <si>
    <t>°/rad</t>
  </si>
  <si>
    <t>Lg</t>
  </si>
  <si>
    <t>Mt</t>
  </si>
  <si>
    <t>= Ma +Mp +Mt +Mc</t>
  </si>
  <si>
    <t xml:space="preserve">= (Lg/Lf) -50% </t>
  </si>
  <si>
    <r>
      <t>= Σ M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·L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 / ΣM</t>
    </r>
    <r>
      <rPr>
        <i/>
        <sz val="10"/>
        <rFont val="Arial"/>
        <family val="2"/>
      </rPr>
      <t>i</t>
    </r>
  </si>
  <si>
    <t>Lt</t>
  </si>
  <si>
    <t>Nt</t>
  </si>
  <si>
    <t>Libbraggio dell'arco</t>
  </si>
  <si>
    <t>kg/lb</t>
  </si>
  <si>
    <t>Tipo di freccia</t>
  </si>
  <si>
    <t>Tipo di lega</t>
  </si>
  <si>
    <t>Energia accumulata</t>
  </si>
  <si>
    <t>Compound a eccentrici</t>
  </si>
  <si>
    <t>Compound a camme</t>
  </si>
  <si>
    <t>▼    ▼</t>
  </si>
  <si>
    <t>Parametri dell'arco</t>
  </si>
  <si>
    <t>Q</t>
  </si>
  <si>
    <t>Rapporto energia/carico</t>
  </si>
  <si>
    <t>= Ta·Q</t>
  </si>
  <si>
    <t>Modulo d'elasticità</t>
  </si>
  <si>
    <t>Carico limite d'elasticità</t>
  </si>
  <si>
    <t>Densità</t>
  </si>
  <si>
    <t>Massa della punta</t>
  </si>
  <si>
    <t xml:space="preserve">2024 ; 7075 </t>
  </si>
  <si>
    <t>Tipo di punta</t>
  </si>
  <si>
    <t xml:space="preserve">[nn][mm] </t>
  </si>
  <si>
    <t>misura in grani</t>
  </si>
  <si>
    <t>P=polimero ; N=naturali</t>
  </si>
  <si>
    <t xml:space="preserve">3 ; 4 </t>
  </si>
  <si>
    <t>Lunghezza della alette</t>
  </si>
  <si>
    <t>Massa delle alette</t>
  </si>
  <si>
    <t>Spine</t>
  </si>
  <si>
    <t>Carico trasversale massimo</t>
  </si>
  <si>
    <t>Flessione massima</t>
  </si>
  <si>
    <t>Energia iniziale della freccia</t>
  </si>
  <si>
    <t>Velocità iniziale</t>
  </si>
  <si>
    <t>Accelerazione massima</t>
  </si>
  <si>
    <t>Rendimento della freccia</t>
  </si>
  <si>
    <t>η</t>
  </si>
  <si>
    <t>= Wf / Wa</t>
  </si>
  <si>
    <t>Ricurvo</t>
  </si>
  <si>
    <t>Longbow</t>
  </si>
  <si>
    <t>LB</t>
  </si>
  <si>
    <t>AR</t>
  </si>
  <si>
    <t>CE</t>
  </si>
  <si>
    <t>CC</t>
  </si>
  <si>
    <t>Libbraggio in newton</t>
  </si>
  <si>
    <t>Carico di punta critico</t>
  </si>
  <si>
    <t>q</t>
  </si>
  <si>
    <t>Inerzia della punta</t>
  </si>
  <si>
    <t>τ</t>
  </si>
  <si>
    <t>Periodo d'oscillazione dell'asta</t>
  </si>
  <si>
    <t>Distanza del baricentro dalla cocca</t>
  </si>
  <si>
    <t>Eccentricità baricentro</t>
  </si>
  <si>
    <t>Foc</t>
  </si>
  <si>
    <t>= (Lg / Lf)·100-50</t>
  </si>
  <si>
    <t>= Mf / ( Cr·S )</t>
  </si>
  <si>
    <t>Velocità massima in caduta libera</t>
  </si>
  <si>
    <t>Vmax</t>
  </si>
  <si>
    <t>Fequenza dell'oscillazione</t>
  </si>
  <si>
    <t>Sezione dell'asta</t>
  </si>
  <si>
    <t>S</t>
  </si>
  <si>
    <t>Densità dell'aria</t>
  </si>
  <si>
    <t>Accelerazione di gravità</t>
  </si>
  <si>
    <t>Pigreco</t>
  </si>
  <si>
    <t>Conversione newton / libbre</t>
  </si>
  <si>
    <t>Conversione chilogrammi / libbre</t>
  </si>
  <si>
    <t>Conversione chilogrammi / grani</t>
  </si>
  <si>
    <t>Conversione gradi / radiante</t>
  </si>
  <si>
    <t>Conversione metri / pollici</t>
  </si>
  <si>
    <t>k1</t>
  </si>
  <si>
    <t>k2</t>
  </si>
  <si>
    <t>k3</t>
  </si>
  <si>
    <t>k4</t>
  </si>
  <si>
    <t>k5</t>
  </si>
  <si>
    <t>π</t>
  </si>
  <si>
    <t>Parametri della freccia</t>
  </si>
  <si>
    <t>= Ta·k1</t>
  </si>
  <si>
    <t>= [nn]·k5 / 64</t>
  </si>
  <si>
    <t>= [mm]·k5 / 1000</t>
  </si>
  <si>
    <t>= grani·k3</t>
  </si>
  <si>
    <t>Le variabili da definire</t>
  </si>
  <si>
    <t>sono quelle evidenziate</t>
  </si>
  <si>
    <t>dallo sfondo di colore arancio</t>
  </si>
  <si>
    <t>FRECCE D'ALLUMINIO - parametri e formule</t>
  </si>
  <si>
    <t>Inclinazione delle alette</t>
  </si>
  <si>
    <t>λ</t>
  </si>
  <si>
    <t>°</t>
  </si>
  <si>
    <t>Frequenza di rotazione della freccia</t>
  </si>
  <si>
    <t>Tratto percorso con una rotazione</t>
  </si>
  <si>
    <t>Xr</t>
  </si>
  <si>
    <t>= π·Øe / tanλ</t>
  </si>
  <si>
    <t>= Vf / Xr</t>
  </si>
  <si>
    <t>Energia cinetica di rotazione</t>
  </si>
  <si>
    <t>Wr</t>
  </si>
  <si>
    <t>Baricentro spine flessibilità</t>
  </si>
  <si>
    <t>Energia velocità coefficiente balistico</t>
  </si>
  <si>
    <t>Oscillazione elastica</t>
  </si>
  <si>
    <t>Rotazione</t>
  </si>
  <si>
    <t>Coefficienti esterni</t>
  </si>
  <si>
    <t xml:space="preserve">LB ; AR ; CE ; CC </t>
  </si>
  <si>
    <t>© 2007 M.&amp;R.Ostidich, vers. 2007/07</t>
  </si>
  <si>
    <t>&gt; &gt; &gt;</t>
  </si>
  <si>
    <t>Coefficiente</t>
  </si>
  <si>
    <t>kg/m</t>
  </si>
  <si>
    <t>Pt</t>
  </si>
  <si>
    <t>= Pt·Nt·Lt</t>
  </si>
  <si>
    <t>in funzione del tipo di freccia</t>
  </si>
  <si>
    <r>
      <t>γ</t>
    </r>
    <r>
      <rPr>
        <vertAlign val="subscript"/>
        <sz val="9"/>
        <rFont val="Arial"/>
        <family val="2"/>
      </rPr>
      <t>a</t>
    </r>
  </si>
  <si>
    <r>
      <t>kg/m</t>
    </r>
    <r>
      <rPr>
        <vertAlign val="superscript"/>
        <sz val="9"/>
        <rFont val="Arial"/>
        <family val="2"/>
      </rPr>
      <t>3</t>
    </r>
  </si>
  <si>
    <r>
      <t>m/s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</si>
  <si>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bscript"/>
        <sz val="9"/>
        <rFont val="Arial"/>
        <family val="0"/>
      </rPr>
      <t>v</t>
    </r>
  </si>
  <si>
    <r>
      <t>= π·(Øe/2)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</si>
  <si>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2</t>
    </r>
  </si>
  <si>
    <r>
      <t>γ</t>
    </r>
    <r>
      <rPr>
        <vertAlign val="subscript"/>
        <sz val="9"/>
        <rFont val="Arial"/>
        <family val="2"/>
      </rPr>
      <t>f</t>
    </r>
  </si>
  <si>
    <r>
      <t>kg/m</t>
    </r>
    <r>
      <rPr>
        <vertAlign val="superscript"/>
        <sz val="9"/>
        <rFont val="Arial"/>
        <family val="0"/>
      </rPr>
      <t>3</t>
    </r>
  </si>
  <si>
    <r>
      <t>N/m</t>
    </r>
    <r>
      <rPr>
        <vertAlign val="superscript"/>
        <sz val="9"/>
        <rFont val="Arial"/>
        <family val="0"/>
      </rPr>
      <t>2</t>
    </r>
  </si>
  <si>
    <r>
      <t>= π·(Øe</t>
    </r>
    <r>
      <rPr>
        <vertAlign val="superscript"/>
        <sz val="9"/>
        <rFont val="Arial"/>
        <family val="0"/>
      </rPr>
      <t xml:space="preserve">4 </t>
    </r>
    <r>
      <rPr>
        <sz val="9"/>
        <rFont val="Arial"/>
        <family val="0"/>
      </rPr>
      <t>-Øi</t>
    </r>
    <r>
      <rPr>
        <vertAlign val="superscript"/>
        <sz val="9"/>
        <rFont val="Arial"/>
        <family val="0"/>
      </rPr>
      <t>4</t>
    </r>
    <r>
      <rPr>
        <sz val="9"/>
        <rFont val="Arial"/>
        <family val="0"/>
      </rPr>
      <t>) / 64</t>
    </r>
  </si>
  <si>
    <r>
      <t>m</t>
    </r>
    <r>
      <rPr>
        <vertAlign val="superscript"/>
        <sz val="9"/>
        <rFont val="Arial"/>
        <family val="0"/>
      </rPr>
      <t>4</t>
    </r>
  </si>
  <si>
    <r>
      <t>= Lf·γ</t>
    </r>
    <r>
      <rPr>
        <vertAlign val="subscript"/>
        <sz val="9"/>
        <rFont val="Arial"/>
        <family val="2"/>
      </rPr>
      <t>f</t>
    </r>
    <r>
      <rPr>
        <sz val="9"/>
        <rFont val="Arial"/>
        <family val="0"/>
      </rPr>
      <t>·π·(Øe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 -Øi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) /4</t>
    </r>
  </si>
  <si>
    <r>
      <t>= Σ( M</t>
    </r>
    <r>
      <rPr>
        <i/>
        <sz val="9"/>
        <rFont val="Arial"/>
        <family val="0"/>
      </rPr>
      <t>i</t>
    </r>
    <r>
      <rPr>
        <sz val="9"/>
        <rFont val="Arial"/>
        <family val="0"/>
      </rPr>
      <t>·L</t>
    </r>
    <r>
      <rPr>
        <i/>
        <sz val="9"/>
        <rFont val="Arial"/>
        <family val="0"/>
      </rPr>
      <t>i</t>
    </r>
    <r>
      <rPr>
        <sz val="9"/>
        <rFont val="Arial"/>
        <family val="0"/>
      </rPr>
      <t xml:space="preserve"> ) / Mf</t>
    </r>
  </si>
  <si>
    <r>
      <t>= [2·k1·(Lf-k5)</t>
    </r>
    <r>
      <rPr>
        <vertAlign val="superscript"/>
        <sz val="9"/>
        <rFont val="Arial"/>
        <family val="0"/>
      </rPr>
      <t>3</t>
    </r>
    <r>
      <rPr>
        <sz val="9"/>
        <rFont val="Arial"/>
        <family val="0"/>
      </rPr>
      <t>/(48·E·J)]·1000/k5</t>
    </r>
  </si>
  <si>
    <r>
      <t>q</t>
    </r>
    <r>
      <rPr>
        <vertAlign val="subscript"/>
        <sz val="9"/>
        <rFont val="Arial"/>
        <family val="2"/>
      </rPr>
      <t>max</t>
    </r>
  </si>
  <si>
    <r>
      <t>= 8·J·R</t>
    </r>
    <r>
      <rPr>
        <vertAlign val="subscript"/>
        <sz val="9"/>
        <rFont val="Arial"/>
        <family val="0"/>
      </rPr>
      <t>p</t>
    </r>
    <r>
      <rPr>
        <sz val="9"/>
        <rFont val="Arial"/>
        <family val="0"/>
      </rPr>
      <t xml:space="preserve"> / (Lf·Øe)</t>
    </r>
  </si>
  <si>
    <r>
      <t>f</t>
    </r>
    <r>
      <rPr>
        <vertAlign val="subscript"/>
        <sz val="9"/>
        <rFont val="Arial"/>
        <family val="2"/>
      </rPr>
      <t>max</t>
    </r>
  </si>
  <si>
    <r>
      <t>= R</t>
    </r>
    <r>
      <rPr>
        <vertAlign val="subscript"/>
        <sz val="9"/>
        <rFont val="Arial"/>
        <family val="0"/>
      </rPr>
      <t>p</t>
    </r>
    <r>
      <rPr>
        <sz val="9"/>
        <rFont val="Arial"/>
        <family val="0"/>
      </rPr>
      <t>·Lf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 / (6·E·Øe)</t>
    </r>
  </si>
  <si>
    <r>
      <t>q</t>
    </r>
    <r>
      <rPr>
        <vertAlign val="subscript"/>
        <sz val="9"/>
        <rFont val="Arial"/>
        <family val="2"/>
      </rPr>
      <t>c</t>
    </r>
  </si>
  <si>
    <r>
      <t>= π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·E·J / Lf</t>
    </r>
    <r>
      <rPr>
        <vertAlign val="superscript"/>
        <sz val="9"/>
        <rFont val="Arial"/>
        <family val="0"/>
      </rPr>
      <t>2</t>
    </r>
  </si>
  <si>
    <r>
      <t>= Mp·a</t>
    </r>
    <r>
      <rPr>
        <vertAlign val="subscript"/>
        <sz val="9"/>
        <rFont val="Arial"/>
        <family val="0"/>
      </rPr>
      <t>max</t>
    </r>
  </si>
  <si>
    <r>
      <t>= Wa·Mf / (Mf +m</t>
    </r>
    <r>
      <rPr>
        <vertAlign val="subscript"/>
        <sz val="9"/>
        <rFont val="Arial"/>
        <family val="0"/>
      </rPr>
      <t>v</t>
    </r>
    <r>
      <rPr>
        <sz val="9"/>
        <rFont val="Arial"/>
        <family val="0"/>
      </rPr>
      <t>)</t>
    </r>
  </si>
  <si>
    <r>
      <t>= (2·Wf / Mf)</t>
    </r>
    <r>
      <rPr>
        <vertAlign val="superscript"/>
        <sz val="9"/>
        <rFont val="Arial"/>
        <family val="0"/>
      </rPr>
      <t>½</t>
    </r>
  </si>
  <si>
    <r>
      <t>a</t>
    </r>
    <r>
      <rPr>
        <vertAlign val="subscript"/>
        <sz val="9"/>
        <rFont val="Arial"/>
        <family val="2"/>
      </rPr>
      <t>max</t>
    </r>
  </si>
  <si>
    <r>
      <t>= Ta·k3 / ( Mf +m</t>
    </r>
    <r>
      <rPr>
        <vertAlign val="subscript"/>
        <sz val="9"/>
        <rFont val="Arial"/>
        <family val="0"/>
      </rPr>
      <t>v</t>
    </r>
    <r>
      <rPr>
        <sz val="9"/>
        <rFont val="Arial"/>
        <family val="0"/>
      </rPr>
      <t xml:space="preserve"> )</t>
    </r>
  </si>
  <si>
    <r>
      <t>kg/m</t>
    </r>
    <r>
      <rPr>
        <vertAlign val="superscript"/>
        <sz val="9"/>
        <rFont val="Arial"/>
        <family val="2"/>
      </rPr>
      <t>2</t>
    </r>
  </si>
  <si>
    <r>
      <t>= [(2·g·CB / γ</t>
    </r>
    <r>
      <rPr>
        <vertAlign val="subscript"/>
        <sz val="9"/>
        <rFont val="Arial"/>
        <family val="2"/>
      </rPr>
      <t>a</t>
    </r>
    <r>
      <rPr>
        <sz val="9"/>
        <rFont val="Arial"/>
        <family val="0"/>
      </rPr>
      <t>)]</t>
    </r>
    <r>
      <rPr>
        <vertAlign val="superscript"/>
        <sz val="9"/>
        <rFont val="Arial"/>
        <family val="2"/>
      </rPr>
      <t>½</t>
    </r>
  </si>
  <si>
    <r>
      <t>= π·[(Ma·Lf</t>
    </r>
    <r>
      <rPr>
        <vertAlign val="superscript"/>
        <sz val="9"/>
        <rFont val="Arial"/>
        <family val="0"/>
      </rPr>
      <t>3</t>
    </r>
    <r>
      <rPr>
        <sz val="9"/>
        <rFont val="Arial"/>
        <family val="0"/>
      </rPr>
      <t>) / (48·E·J)]</t>
    </r>
    <r>
      <rPr>
        <vertAlign val="superscript"/>
        <sz val="9"/>
        <rFont val="Arial"/>
        <family val="0"/>
      </rPr>
      <t>½</t>
    </r>
  </si>
  <si>
    <r>
      <t>n</t>
    </r>
    <r>
      <rPr>
        <vertAlign val="subscript"/>
        <sz val="9"/>
        <rFont val="Arial"/>
        <family val="2"/>
      </rPr>
      <t>o</t>
    </r>
  </si>
  <si>
    <r>
      <t xml:space="preserve">= 1 / </t>
    </r>
    <r>
      <rPr>
        <sz val="9"/>
        <rFont val="Times New Roman"/>
        <family val="1"/>
      </rPr>
      <t>τ</t>
    </r>
  </si>
  <si>
    <r>
      <t>s</t>
    </r>
    <r>
      <rPr>
        <vertAlign val="superscript"/>
        <sz val="9"/>
        <rFont val="Arial"/>
        <family val="2"/>
      </rPr>
      <t>-1</t>
    </r>
  </si>
  <si>
    <r>
      <t>n</t>
    </r>
    <r>
      <rPr>
        <vertAlign val="subscript"/>
        <sz val="9"/>
        <rFont val="Arial"/>
        <family val="2"/>
      </rPr>
      <t>r</t>
    </r>
  </si>
  <si>
    <r>
      <t>= Wf·tan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λ</t>
    </r>
  </si>
  <si>
    <t>Ulteriori informazioni sono disponibili in:</t>
  </si>
  <si>
    <t>www.outlab.it/works/frecce.pdf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</si>
</sst>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0000_-;\-* #,##0.00000_-;_-* &quot;-&quot;??_-;_-@_-"/>
    <numFmt numFmtId="167" formatCode="_-* #,##0.000000_-;\-* #,##0.000000_-;_-* &quot;-&quot;??_-;_-@_-"/>
    <numFmt numFmtId="168" formatCode="_-* #,##0.0000000_-;\-* #,##0.0000000_-;_-* &quot;-&quot;??_-;_-@_-"/>
    <numFmt numFmtId="169" formatCode="_-* #,##0.00000000_-;\-* #,##0.00000000_-;_-* &quot;-&quot;??_-;_-@_-"/>
    <numFmt numFmtId="170" formatCode="_-* #,##0.00000000_-;\-* #,##0.00000000_-;_-* &quot;-&quot;????????_-;_-@_-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_-* #,##0.0_-;\-* #,##0.0_-;_-* &quot;-&quot;??_-;_-@_-"/>
    <numFmt numFmtId="180" formatCode="_-* #,##0_-;\-* #,##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00000000_-;\-* #,##0.00000000000_-;_-* &quot;-&quot;??_-;_-@_-"/>
    <numFmt numFmtId="184" formatCode="_-* #,##0.000000000000_-;\-* #,##0.000000000000_-;_-* &quot;-&quot;??_-;_-@_-"/>
    <numFmt numFmtId="185" formatCode="_-* #,##0.0000000000000_-;\-* #,##0.0000000000000_-;_-* &quot;-&quot;??_-;_-@_-"/>
    <numFmt numFmtId="186" formatCode="_-* #,##0.00000000000000_-;\-* #,##0.00000000000000_-;_-* &quot;-&quot;??_-;_-@_-"/>
    <numFmt numFmtId="187" formatCode="_-* #,##0.0000_-;\-* #,##0.0000_-;_-* &quot;-&quot;????_-;_-@_-"/>
    <numFmt numFmtId="188" formatCode="_-* #,##0.000_-;\-* #,##0.000_-;_-* &quot;-&quot;???_-;_-@_-"/>
    <numFmt numFmtId="189" formatCode="_-* #,##0.00_-;\-* #,##0.00_-;_-* &quot;-&quot;???_-;_-@_-"/>
    <numFmt numFmtId="190" formatCode="_-* #,##0.0_-;\-* #,##0.0_-;_-* &quot;-&quot;???_-;_-@_-"/>
    <numFmt numFmtId="191" formatCode="_-* #,##0.00000000000000_-;\-* #,##0.00000000000000_-;_-* &quot;-&quot;??????????????_-;_-@_-"/>
    <numFmt numFmtId="192" formatCode="_-* #,##0.0000000000000_-;\-* #,##0.0000000000000_-;_-* &quot;-&quot;??????????????_-;_-@_-"/>
    <numFmt numFmtId="193" formatCode="_-* #,##0.000000000000_-;\-* #,##0.000000000000_-;_-* &quot;-&quot;??????????????_-;_-@_-"/>
    <numFmt numFmtId="194" formatCode="_-* #,##0.00000000000_-;\-* #,##0.00000000000_-;_-* &quot;-&quot;??????????????_-;_-@_-"/>
    <numFmt numFmtId="195" formatCode="_-* #,##0.0000000000_-;\-* #,##0.0000000000_-;_-* &quot;-&quot;??????????????_-;_-@_-"/>
    <numFmt numFmtId="196" formatCode="_-* #,##0.000000000_-;\-* #,##0.000000000_-;_-* &quot;-&quot;??????????????_-;_-@_-"/>
    <numFmt numFmtId="197" formatCode="_-* #,##0.00000000_-;\-* #,##0.00000000_-;_-* &quot;-&quot;??????????????_-;_-@_-"/>
    <numFmt numFmtId="198" formatCode="_-* #,##0.0000000_-;\-* #,##0.0000000_-;_-* &quot;-&quot;??????????????_-;_-@_-"/>
    <numFmt numFmtId="199" formatCode="_-* #,##0.000000_-;\-* #,##0.000000_-;_-* &quot;-&quot;??????????????_-;_-@_-"/>
    <numFmt numFmtId="200" formatCode="_-* #,##0.00000_-;\-* #,##0.00000_-;_-* &quot;-&quot;??????????????_-;_-@_-"/>
    <numFmt numFmtId="201" formatCode="_-* #,##0.0000_-;\-* #,##0.0000_-;_-* &quot;-&quot;??????????????_-;_-@_-"/>
    <numFmt numFmtId="202" formatCode="_-* #,##0.000_-;\-* #,##0.000_-;_-* &quot;-&quot;??????????????_-;_-@_-"/>
    <numFmt numFmtId="203" formatCode="_-* #,##0.00_-;\-* #,##0.00_-;_-* &quot;-&quot;??????????????_-;_-@_-"/>
    <numFmt numFmtId="204" formatCode="_-* #,##0.0_-;\-* #,##0.0_-;_-* &quot;-&quot;??????????????_-;_-@_-"/>
    <numFmt numFmtId="205" formatCode="_-* #,##0_-;\-* #,##0_-;_-* &quot;-&quot;??????????????_-;_-@_-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0.000E+00"/>
    <numFmt numFmtId="210" formatCode="0.0000E+00"/>
    <numFmt numFmtId="211" formatCode="0.0%"/>
    <numFmt numFmtId="212" formatCode="0.0E+00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0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i/>
      <sz val="9"/>
      <color indexed="9"/>
      <name val="Arial"/>
      <family val="2"/>
    </font>
    <font>
      <b/>
      <sz val="9"/>
      <color indexed="16"/>
      <name val="Arial"/>
      <family val="2"/>
    </font>
    <font>
      <sz val="9"/>
      <color indexed="23"/>
      <name val="Arial"/>
      <family val="2"/>
    </font>
    <font>
      <sz val="9"/>
      <color indexed="63"/>
      <name val="Arial"/>
      <family val="2"/>
    </font>
    <font>
      <i/>
      <sz val="9"/>
      <name val="Arial"/>
      <family val="0"/>
    </font>
    <font>
      <sz val="9"/>
      <name val="Times New Roman"/>
      <family val="1"/>
    </font>
    <font>
      <sz val="9"/>
      <color indexed="17"/>
      <name val="Arial"/>
      <family val="2"/>
    </font>
    <font>
      <u val="single"/>
      <sz val="10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4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175" fontId="0" fillId="4" borderId="0" xfId="0" applyNumberFormat="1" applyFont="1" applyFill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2" fillId="6" borderId="0" xfId="0" applyFont="1" applyFill="1" applyAlignment="1">
      <alignment horizontal="right" vertical="center"/>
    </xf>
    <xf numFmtId="0" fontId="1" fillId="7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 wrapText="1"/>
    </xf>
    <xf numFmtId="0" fontId="0" fillId="6" borderId="0" xfId="0" applyFont="1" applyFill="1" applyAlignment="1" quotePrefix="1">
      <alignment vertical="center" wrapText="1"/>
    </xf>
    <xf numFmtId="0" fontId="1" fillId="7" borderId="0" xfId="0" applyFont="1" applyFill="1" applyAlignment="1">
      <alignment horizontal="right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Alignment="1" quotePrefix="1">
      <alignment vertical="center" wrapText="1"/>
    </xf>
    <xf numFmtId="0" fontId="0" fillId="4" borderId="0" xfId="0" applyFont="1" applyFill="1" applyAlignment="1">
      <alignment horizontal="right" vertical="center" wrapText="1"/>
    </xf>
    <xf numFmtId="0" fontId="0" fillId="6" borderId="0" xfId="0" applyFont="1" applyFill="1" applyAlignment="1">
      <alignment vertical="center" wrapText="1"/>
    </xf>
    <xf numFmtId="2" fontId="0" fillId="4" borderId="0" xfId="0" applyNumberFormat="1" applyFont="1" applyFill="1" applyAlignment="1">
      <alignment horizontal="right" vertical="center" wrapText="1"/>
    </xf>
    <xf numFmtId="0" fontId="0" fillId="5" borderId="0" xfId="0" applyFont="1" applyFill="1" applyAlignment="1" quotePrefix="1">
      <alignment vertical="center"/>
    </xf>
    <xf numFmtId="170" fontId="0" fillId="2" borderId="0" xfId="0" applyNumberFormat="1" applyFont="1" applyFill="1" applyAlignment="1">
      <alignment vertical="center"/>
    </xf>
    <xf numFmtId="2" fontId="0" fillId="4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 quotePrefix="1">
      <alignment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right" vertical="center" wrapText="1"/>
    </xf>
    <xf numFmtId="0" fontId="0" fillId="6" borderId="1" xfId="0" applyFont="1" applyFill="1" applyBorder="1" applyAlignment="1" quotePrefix="1">
      <alignment vertical="center" wrapText="1"/>
    </xf>
    <xf numFmtId="0" fontId="0" fillId="6" borderId="2" xfId="0" applyFont="1" applyFill="1" applyBorder="1" applyAlignment="1" quotePrefix="1">
      <alignment vertical="center" wrapText="1"/>
    </xf>
    <xf numFmtId="209" fontId="0" fillId="4" borderId="0" xfId="0" applyNumberFormat="1" applyFont="1" applyFill="1" applyAlignment="1">
      <alignment horizontal="right" vertical="center"/>
    </xf>
    <xf numFmtId="0" fontId="0" fillId="6" borderId="3" xfId="0" applyFont="1" applyFill="1" applyBorder="1" applyAlignment="1" quotePrefix="1">
      <alignment vertical="center" wrapText="1"/>
    </xf>
    <xf numFmtId="0" fontId="1" fillId="7" borderId="0" xfId="0" applyFont="1" applyFill="1" applyAlignment="1">
      <alignment vertical="center"/>
    </xf>
    <xf numFmtId="174" fontId="0" fillId="4" borderId="0" xfId="0" applyNumberFormat="1" applyFont="1" applyFill="1" applyAlignment="1">
      <alignment horizontal="right" vertical="center" wrapText="1"/>
    </xf>
    <xf numFmtId="17" fontId="5" fillId="6" borderId="4" xfId="0" applyNumberFormat="1" applyFont="1" applyFill="1" applyBorder="1" applyAlignment="1" quotePrefix="1">
      <alignment horizontal="center" vertical="center" wrapText="1"/>
    </xf>
    <xf numFmtId="173" fontId="0" fillId="4" borderId="0" xfId="0" applyNumberFormat="1" applyFont="1" applyFill="1" applyAlignment="1">
      <alignment horizontal="right" vertical="center" wrapText="1"/>
    </xf>
    <xf numFmtId="174" fontId="1" fillId="7" borderId="0" xfId="0" applyNumberFormat="1" applyFont="1" applyFill="1" applyAlignment="1">
      <alignment horizontal="right" vertical="center" wrapText="1"/>
    </xf>
    <xf numFmtId="1" fontId="1" fillId="7" borderId="0" xfId="0" applyNumberFormat="1" applyFont="1" applyFill="1" applyAlignment="1">
      <alignment horizontal="right" vertical="center" wrapText="1"/>
    </xf>
    <xf numFmtId="174" fontId="0" fillId="4" borderId="0" xfId="0" applyNumberFormat="1" applyFont="1" applyFill="1" applyAlignment="1">
      <alignment horizontal="right" vertical="center"/>
    </xf>
    <xf numFmtId="172" fontId="0" fillId="4" borderId="0" xfId="0" applyNumberFormat="1" applyFont="1" applyFill="1" applyAlignment="1">
      <alignment horizontal="right" vertical="center"/>
    </xf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 quotePrefix="1">
      <alignment horizontal="left" vertical="center"/>
    </xf>
    <xf numFmtId="174" fontId="0" fillId="2" borderId="0" xfId="0" applyNumberFormat="1" applyFont="1" applyFill="1" applyAlignment="1">
      <alignment horizontal="right" vertical="center"/>
    </xf>
    <xf numFmtId="1" fontId="0" fillId="4" borderId="0" xfId="0" applyNumberFormat="1" applyFont="1" applyFill="1" applyAlignment="1">
      <alignment horizontal="right" vertical="center"/>
    </xf>
    <xf numFmtId="176" fontId="0" fillId="2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2" borderId="0" xfId="0" applyNumberFormat="1" applyFont="1" applyFill="1" applyAlignment="1">
      <alignment vertical="center"/>
    </xf>
    <xf numFmtId="0" fontId="0" fillId="8" borderId="0" xfId="0" applyFont="1" applyFill="1" applyAlignment="1">
      <alignment horizontal="center" vertical="center"/>
    </xf>
    <xf numFmtId="171" fontId="0" fillId="4" borderId="0" xfId="0" applyNumberFormat="1" applyFont="1" applyFill="1" applyAlignment="1">
      <alignment horizontal="right" vertical="center"/>
    </xf>
    <xf numFmtId="174" fontId="0" fillId="2" borderId="0" xfId="0" applyNumberFormat="1" applyFont="1" applyFill="1" applyAlignment="1">
      <alignment vertical="center"/>
    </xf>
    <xf numFmtId="2" fontId="0" fillId="4" borderId="0" xfId="19" applyNumberFormat="1" applyFont="1" applyFill="1" applyAlignment="1">
      <alignment horizontal="right" vertical="center"/>
    </xf>
    <xf numFmtId="0" fontId="8" fillId="9" borderId="0" xfId="0" applyFont="1" applyFill="1" applyBorder="1" applyAlignment="1" applyProtection="1">
      <alignment horizontal="left" vertical="center"/>
      <protection/>
    </xf>
    <xf numFmtId="0" fontId="7" fillId="9" borderId="0" xfId="0" applyFont="1" applyFill="1" applyBorder="1" applyAlignment="1" applyProtection="1">
      <alignment horizontal="right" vertical="center"/>
      <protection/>
    </xf>
    <xf numFmtId="0" fontId="11" fillId="9" borderId="0" xfId="0" applyFont="1" applyFill="1" applyBorder="1" applyAlignment="1" applyProtection="1">
      <alignment horizontal="center" vertical="center"/>
      <protection/>
    </xf>
    <xf numFmtId="0" fontId="11" fillId="9" borderId="0" xfId="0" applyFont="1" applyFill="1" applyBorder="1" applyAlignment="1" applyProtection="1">
      <alignment horizontal="left" vertical="center"/>
      <protection/>
    </xf>
    <xf numFmtId="0" fontId="12" fillId="9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2" fillId="10" borderId="5" xfId="0" applyFont="1" applyFill="1" applyBorder="1" applyAlignment="1">
      <alignment horizontal="left" vertical="center" indent="1"/>
    </xf>
    <xf numFmtId="0" fontId="13" fillId="4" borderId="0" xfId="0" applyFont="1" applyFill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left" vertical="center" indent="1"/>
    </xf>
    <xf numFmtId="0" fontId="13" fillId="4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175" fontId="13" fillId="4" borderId="0" xfId="0" applyNumberFormat="1" applyFont="1" applyFill="1" applyAlignment="1">
      <alignment horizontal="center" vertical="center"/>
    </xf>
    <xf numFmtId="172" fontId="13" fillId="4" borderId="0" xfId="0" applyNumberFormat="1" applyFont="1" applyFill="1" applyAlignment="1">
      <alignment horizontal="center" vertical="center"/>
    </xf>
    <xf numFmtId="174" fontId="13" fillId="4" borderId="0" xfId="0" applyNumberFormat="1" applyFont="1" applyFill="1" applyAlignment="1">
      <alignment horizontal="center" vertical="center"/>
    </xf>
    <xf numFmtId="176" fontId="13" fillId="4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left" vertical="center" indent="1"/>
    </xf>
    <xf numFmtId="0" fontId="11" fillId="11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7" fillId="11" borderId="0" xfId="0" applyFont="1" applyFill="1" applyAlignment="1">
      <alignment horizontal="right" vertical="center"/>
    </xf>
    <xf numFmtId="0" fontId="18" fillId="7" borderId="0" xfId="0" applyFont="1" applyFill="1" applyAlignment="1" applyProtection="1">
      <alignment horizontal="center" vertical="center"/>
      <protection locked="0"/>
    </xf>
    <xf numFmtId="0" fontId="19" fillId="11" borderId="0" xfId="0" applyFont="1" applyFill="1" applyAlignment="1">
      <alignment horizontal="right" vertical="center"/>
    </xf>
    <xf numFmtId="0" fontId="13" fillId="5" borderId="0" xfId="0" applyFont="1" applyFill="1" applyAlignment="1" quotePrefix="1">
      <alignment horizontal="left" vertical="center" indent="1"/>
    </xf>
    <xf numFmtId="171" fontId="13" fillId="4" borderId="0" xfId="0" applyNumberFormat="1" applyFont="1" applyFill="1" applyAlignment="1">
      <alignment horizontal="center" vertical="center"/>
    </xf>
    <xf numFmtId="172" fontId="13" fillId="4" borderId="0" xfId="0" applyNumberFormat="1" applyFont="1" applyFill="1" applyAlignment="1">
      <alignment horizontal="center" vertical="center"/>
    </xf>
    <xf numFmtId="0" fontId="13" fillId="5" borderId="0" xfId="0" applyFont="1" applyFill="1" applyAlignment="1" quotePrefix="1">
      <alignment horizontal="left" vertical="center" indent="1"/>
    </xf>
    <xf numFmtId="174" fontId="13" fillId="4" borderId="0" xfId="0" applyNumberFormat="1" applyFont="1" applyFill="1" applyAlignment="1">
      <alignment horizontal="center" vertical="center"/>
    </xf>
    <xf numFmtId="209" fontId="13" fillId="4" borderId="0" xfId="0" applyNumberFormat="1" applyFont="1" applyFill="1" applyAlignment="1">
      <alignment horizontal="center" vertical="center"/>
    </xf>
    <xf numFmtId="212" fontId="13" fillId="4" borderId="0" xfId="0" applyNumberFormat="1" applyFont="1" applyFill="1" applyAlignment="1">
      <alignment horizontal="center" vertical="center"/>
    </xf>
    <xf numFmtId="210" fontId="13" fillId="4" borderId="0" xfId="0" applyNumberFormat="1" applyFont="1" applyFill="1" applyAlignment="1">
      <alignment horizontal="center" vertical="center"/>
    </xf>
    <xf numFmtId="11" fontId="13" fillId="2" borderId="0" xfId="0" applyNumberFormat="1" applyFont="1" applyFill="1" applyAlignment="1">
      <alignment horizontal="center" vertical="center"/>
    </xf>
    <xf numFmtId="171" fontId="18" fillId="7" borderId="0" xfId="0" applyNumberFormat="1" applyFont="1" applyFill="1" applyAlignment="1" applyProtection="1">
      <alignment horizontal="center" vertical="center"/>
      <protection locked="0"/>
    </xf>
    <xf numFmtId="0" fontId="20" fillId="5" borderId="0" xfId="0" applyFont="1" applyFill="1" applyAlignment="1" quotePrefix="1">
      <alignment horizontal="left" vertical="center" indent="1"/>
    </xf>
    <xf numFmtId="1" fontId="18" fillId="7" borderId="0" xfId="0" applyNumberFormat="1" applyFont="1" applyFill="1" applyAlignment="1" applyProtection="1">
      <alignment horizontal="center" vertical="center"/>
      <protection locked="0"/>
    </xf>
    <xf numFmtId="172" fontId="18" fillId="7" borderId="0" xfId="0" applyNumberFormat="1" applyFont="1" applyFill="1" applyAlignment="1" applyProtection="1">
      <alignment horizontal="center" vertical="center"/>
      <protection locked="0"/>
    </xf>
    <xf numFmtId="173" fontId="13" fillId="4" borderId="0" xfId="0" applyNumberFormat="1" applyFont="1" applyFill="1" applyAlignment="1">
      <alignment horizontal="center" vertical="center"/>
    </xf>
    <xf numFmtId="0" fontId="13" fillId="5" borderId="0" xfId="0" applyFont="1" applyFill="1" applyAlignment="1" quotePrefix="1">
      <alignment vertical="center"/>
    </xf>
    <xf numFmtId="0" fontId="13" fillId="2" borderId="0" xfId="0" applyFont="1" applyFill="1" applyAlignment="1">
      <alignment horizontal="left" vertical="center"/>
    </xf>
    <xf numFmtId="175" fontId="13" fillId="2" borderId="0" xfId="0" applyNumberFormat="1" applyFont="1" applyFill="1" applyAlignment="1">
      <alignment horizontal="center" vertical="center"/>
    </xf>
    <xf numFmtId="171" fontId="13" fillId="4" borderId="0" xfId="0" applyNumberFormat="1" applyFont="1" applyFill="1" applyAlignment="1">
      <alignment horizontal="center" vertical="center"/>
    </xf>
    <xf numFmtId="1" fontId="13" fillId="4" borderId="0" xfId="0" applyNumberFormat="1" applyFont="1" applyFill="1" applyAlignment="1">
      <alignment horizontal="center" vertical="center"/>
    </xf>
    <xf numFmtId="171" fontId="13" fillId="2" borderId="0" xfId="0" applyNumberFormat="1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top" wrapText="1"/>
    </xf>
    <xf numFmtId="175" fontId="13" fillId="4" borderId="0" xfId="0" applyNumberFormat="1" applyFont="1" applyFill="1" applyAlignment="1">
      <alignment horizontal="center" vertical="center"/>
    </xf>
    <xf numFmtId="0" fontId="5" fillId="9" borderId="0" xfId="0" applyFont="1" applyFill="1" applyBorder="1" applyAlignment="1" applyProtection="1">
      <alignment horizontal="right" vertical="center"/>
      <protection/>
    </xf>
    <xf numFmtId="0" fontId="12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vertical="center"/>
    </xf>
    <xf numFmtId="0" fontId="11" fillId="10" borderId="6" xfId="0" applyFont="1" applyFill="1" applyBorder="1" applyAlignment="1">
      <alignment horizontal="center" vertical="center"/>
    </xf>
    <xf numFmtId="0" fontId="24" fillId="9" borderId="0" xfId="15" applyFont="1" applyFill="1" applyBorder="1" applyAlignment="1" applyProtection="1">
      <alignment horizontal="lef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1</xdr:row>
      <xdr:rowOff>9525</xdr:rowOff>
    </xdr:from>
    <xdr:to>
      <xdr:col>1</xdr:col>
      <xdr:colOff>1419225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524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utlab.it/works/frecce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0"/>
  <sheetViews>
    <sheetView workbookViewId="0" topLeftCell="A13">
      <selection activeCell="H23" sqref="H23"/>
    </sheetView>
  </sheetViews>
  <sheetFormatPr defaultColWidth="9.140625" defaultRowHeight="12.75"/>
  <cols>
    <col min="1" max="1" width="8.00390625" style="1" customWidth="1"/>
    <col min="2" max="2" width="36.421875" style="1" customWidth="1"/>
    <col min="3" max="3" width="5.7109375" style="1" customWidth="1"/>
    <col min="4" max="4" width="29.00390625" style="1" customWidth="1"/>
    <col min="5" max="5" width="11.57421875" style="2" bestFit="1" customWidth="1"/>
    <col min="6" max="6" width="9.140625" style="3" customWidth="1"/>
    <col min="7" max="7" width="10.7109375" style="1" bestFit="1" customWidth="1"/>
    <col min="8" max="8" width="9.421875" style="1" bestFit="1" customWidth="1"/>
    <col min="9" max="9" width="15.421875" style="1" customWidth="1"/>
    <col min="10" max="10" width="15.421875" style="1" bestFit="1" customWidth="1"/>
    <col min="11" max="11" width="9.140625" style="1" customWidth="1"/>
    <col min="12" max="12" width="12.7109375" style="1" bestFit="1" customWidth="1"/>
    <col min="13" max="16384" width="9.140625" style="1" customWidth="1"/>
  </cols>
  <sheetData>
    <row r="2" spans="2:6" ht="12.75">
      <c r="B2" s="4" t="s">
        <v>65</v>
      </c>
      <c r="C2" s="5"/>
      <c r="D2" s="5" t="s">
        <v>68</v>
      </c>
      <c r="E2" s="6">
        <v>6.48E-05</v>
      </c>
      <c r="F2" s="7" t="s">
        <v>7</v>
      </c>
    </row>
    <row r="3" spans="2:6" ht="12.75">
      <c r="B3" s="4"/>
      <c r="C3" s="5"/>
      <c r="D3" s="5" t="s">
        <v>66</v>
      </c>
      <c r="E3" s="6">
        <v>4.4497</v>
      </c>
      <c r="F3" s="7" t="s">
        <v>28</v>
      </c>
    </row>
    <row r="4" spans="2:6" ht="12.75">
      <c r="B4" s="4"/>
      <c r="C4" s="5"/>
      <c r="D4" s="5" t="s">
        <v>67</v>
      </c>
      <c r="E4" s="6">
        <v>2.2046</v>
      </c>
      <c r="F4" s="7" t="s">
        <v>29</v>
      </c>
    </row>
    <row r="5" spans="2:6" ht="12.75">
      <c r="B5" s="4"/>
      <c r="C5" s="5"/>
      <c r="D5" s="5" t="s">
        <v>83</v>
      </c>
      <c r="E5" s="6">
        <v>0.0254</v>
      </c>
      <c r="F5" s="7" t="s">
        <v>84</v>
      </c>
    </row>
    <row r="6" spans="2:6" ht="12.75">
      <c r="B6" s="4" t="s">
        <v>69</v>
      </c>
      <c r="C6" s="5"/>
      <c r="D6" s="5" t="s">
        <v>35</v>
      </c>
      <c r="E6" s="8">
        <f>PI()</f>
        <v>3.141592653589793</v>
      </c>
      <c r="F6" s="7"/>
    </row>
    <row r="8" spans="2:6" ht="12.75">
      <c r="B8" s="9" t="s">
        <v>32</v>
      </c>
      <c r="C8" s="9"/>
      <c r="D8" s="10" t="s">
        <v>55</v>
      </c>
      <c r="E8" s="11" t="s">
        <v>56</v>
      </c>
      <c r="F8" s="12"/>
    </row>
    <row r="9" spans="2:6" ht="12.75">
      <c r="B9" s="13" t="s">
        <v>59</v>
      </c>
      <c r="C9" s="13" t="s">
        <v>54</v>
      </c>
      <c r="D9" s="14"/>
      <c r="E9" s="15">
        <v>50</v>
      </c>
      <c r="F9" s="16" t="s">
        <v>33</v>
      </c>
    </row>
    <row r="10" spans="2:6" ht="12.75">
      <c r="B10" s="13" t="s">
        <v>103</v>
      </c>
      <c r="C10" s="13" t="s">
        <v>8</v>
      </c>
      <c r="D10" s="17" t="s">
        <v>58</v>
      </c>
      <c r="E10" s="18">
        <f>E9*E3</f>
        <v>222.485</v>
      </c>
      <c r="F10" s="16" t="s">
        <v>9</v>
      </c>
    </row>
    <row r="11" spans="2:6" ht="15.75">
      <c r="B11" s="13" t="s">
        <v>10</v>
      </c>
      <c r="C11" s="13" t="s">
        <v>111</v>
      </c>
      <c r="D11" s="19"/>
      <c r="E11" s="15">
        <v>0.012</v>
      </c>
      <c r="F11" s="16" t="s">
        <v>0</v>
      </c>
    </row>
    <row r="12" spans="2:6" ht="12.75">
      <c r="B12" s="13" t="s">
        <v>91</v>
      </c>
      <c r="C12" s="13" t="s">
        <v>94</v>
      </c>
      <c r="D12" s="13"/>
      <c r="E12" s="18">
        <f>IF(E8="R",0.26,IF(E8="C",0.35,"?"))</f>
        <v>0.26</v>
      </c>
      <c r="F12" s="16" t="s">
        <v>92</v>
      </c>
    </row>
    <row r="13" spans="2:6" ht="12.75">
      <c r="B13" s="13" t="s">
        <v>99</v>
      </c>
      <c r="C13" s="13" t="s">
        <v>98</v>
      </c>
      <c r="D13" s="17" t="s">
        <v>93</v>
      </c>
      <c r="E13" s="20">
        <f>E10*E12</f>
        <v>57.84610000000001</v>
      </c>
      <c r="F13" s="16" t="s">
        <v>19</v>
      </c>
    </row>
    <row r="14" spans="2:9" ht="12.75">
      <c r="B14" s="9" t="s">
        <v>96</v>
      </c>
      <c r="C14" s="9" t="s">
        <v>97</v>
      </c>
      <c r="D14" s="21" t="s">
        <v>100</v>
      </c>
      <c r="E14" s="6">
        <f>E13*E35/(E35+E11)</f>
        <v>40.340953056736666</v>
      </c>
      <c r="F14" s="12" t="s">
        <v>19</v>
      </c>
      <c r="I14" s="22"/>
    </row>
    <row r="15" spans="2:9" ht="12.75">
      <c r="B15" s="9" t="s">
        <v>87</v>
      </c>
      <c r="C15" s="9" t="s">
        <v>41</v>
      </c>
      <c r="D15" s="21" t="s">
        <v>101</v>
      </c>
      <c r="E15" s="23">
        <f>(E14*2/E35)^0.5</f>
        <v>54.014113808743446</v>
      </c>
      <c r="F15" s="12" t="s">
        <v>3</v>
      </c>
      <c r="I15" s="22"/>
    </row>
    <row r="16" spans="2:6" ht="12.75">
      <c r="B16" s="24"/>
      <c r="C16" s="24"/>
      <c r="D16" s="25"/>
      <c r="E16" s="26"/>
      <c r="F16" s="27"/>
    </row>
    <row r="17" spans="2:6" ht="12.75">
      <c r="B17" s="13" t="s">
        <v>95</v>
      </c>
      <c r="C17" s="13"/>
      <c r="D17" s="19"/>
      <c r="E17" s="15">
        <v>2114</v>
      </c>
      <c r="F17" s="16"/>
    </row>
    <row r="18" spans="2:6" ht="12.75">
      <c r="B18" s="13" t="s">
        <v>11</v>
      </c>
      <c r="C18" s="13" t="s">
        <v>12</v>
      </c>
      <c r="D18" s="19"/>
      <c r="E18" s="15">
        <v>0.74</v>
      </c>
      <c r="F18" s="16" t="s">
        <v>1</v>
      </c>
    </row>
    <row r="19" spans="2:6" ht="12.75">
      <c r="B19" s="13" t="s">
        <v>34</v>
      </c>
      <c r="C19" s="13"/>
      <c r="D19" s="28" t="s">
        <v>57</v>
      </c>
      <c r="E19" s="15">
        <v>2024</v>
      </c>
      <c r="F19" s="16"/>
    </row>
    <row r="20" spans="2:6" ht="12.75">
      <c r="B20" s="13" t="s">
        <v>60</v>
      </c>
      <c r="C20" s="13" t="s">
        <v>13</v>
      </c>
      <c r="D20" s="17" t="s">
        <v>70</v>
      </c>
      <c r="E20" s="6">
        <f>INT(E17/100)/64*E5</f>
        <v>0.008334375</v>
      </c>
      <c r="F20" s="16" t="s">
        <v>1</v>
      </c>
    </row>
    <row r="21" spans="2:6" ht="12.75">
      <c r="B21" s="13" t="s">
        <v>61</v>
      </c>
      <c r="C21" s="13" t="s">
        <v>2</v>
      </c>
      <c r="D21" s="17" t="s">
        <v>71</v>
      </c>
      <c r="E21" s="6">
        <f>MOD(E17,100)/1000*25.4/1000</f>
        <v>0.00035559999999999997</v>
      </c>
      <c r="F21" s="16" t="s">
        <v>1</v>
      </c>
    </row>
    <row r="22" spans="2:6" ht="13.5" thickBot="1">
      <c r="B22" s="13" t="s">
        <v>14</v>
      </c>
      <c r="C22" s="13" t="s">
        <v>15</v>
      </c>
      <c r="D22" s="17" t="s">
        <v>108</v>
      </c>
      <c r="E22" s="6">
        <f>E20-2*E21</f>
        <v>0.007623174999999999</v>
      </c>
      <c r="F22" s="16" t="s">
        <v>1</v>
      </c>
    </row>
    <row r="23" spans="2:6" ht="14.25">
      <c r="B23" s="13" t="s">
        <v>62</v>
      </c>
      <c r="C23" s="13" t="s">
        <v>30</v>
      </c>
      <c r="D23" s="29"/>
      <c r="E23" s="6">
        <f>IF(E19=2024,2770,IF(E19=7075,2800,"?"))</f>
        <v>2770</v>
      </c>
      <c r="F23" s="16" t="s">
        <v>112</v>
      </c>
    </row>
    <row r="24" spans="2:6" ht="14.25">
      <c r="B24" s="13" t="s">
        <v>63</v>
      </c>
      <c r="C24" s="13" t="s">
        <v>16</v>
      </c>
      <c r="D24" s="30"/>
      <c r="E24" s="31">
        <f>IF(E19=2024,73*10^9,IF(E19=7075,72*10^9,"?"))</f>
        <v>73000000000</v>
      </c>
      <c r="F24" s="16" t="s">
        <v>113</v>
      </c>
    </row>
    <row r="25" spans="2:6" ht="15" thickBot="1">
      <c r="B25" s="13" t="s">
        <v>64</v>
      </c>
      <c r="C25" s="13" t="s">
        <v>17</v>
      </c>
      <c r="D25" s="32"/>
      <c r="E25" s="31">
        <f>IF(E19=2024,310*10^6,IF(E19=7075,470*10^6,"?"))</f>
        <v>310000000</v>
      </c>
      <c r="F25" s="16" t="s">
        <v>113</v>
      </c>
    </row>
    <row r="26" spans="2:6" ht="14.25">
      <c r="B26" s="13" t="s">
        <v>18</v>
      </c>
      <c r="C26" s="13" t="s">
        <v>19</v>
      </c>
      <c r="D26" s="17" t="s">
        <v>72</v>
      </c>
      <c r="E26" s="31">
        <f>E6*(E20^4-E22^4)/64</f>
        <v>7.107094474251283E-11</v>
      </c>
      <c r="F26" s="16" t="s">
        <v>114</v>
      </c>
    </row>
    <row r="27" spans="2:6" ht="12.75">
      <c r="B27" s="13" t="s">
        <v>20</v>
      </c>
      <c r="C27" s="13" t="s">
        <v>21</v>
      </c>
      <c r="D27" s="17" t="s">
        <v>115</v>
      </c>
      <c r="E27" s="6">
        <f>E18*E23*E6*(E20^2-E22^2)/4</f>
        <v>0.01827087439459543</v>
      </c>
      <c r="F27" s="16" t="s">
        <v>0</v>
      </c>
    </row>
    <row r="28" spans="2:6" ht="12.75">
      <c r="B28" s="13" t="s">
        <v>105</v>
      </c>
      <c r="C28" s="13" t="s">
        <v>22</v>
      </c>
      <c r="D28" s="15" t="s">
        <v>104</v>
      </c>
      <c r="E28" s="33">
        <v>98.2</v>
      </c>
      <c r="F28" s="12" t="s">
        <v>36</v>
      </c>
    </row>
    <row r="29" spans="2:6" ht="12.75">
      <c r="B29" s="13" t="s">
        <v>106</v>
      </c>
      <c r="C29" s="13" t="s">
        <v>22</v>
      </c>
      <c r="D29" s="13"/>
      <c r="E29" s="34">
        <f>E28*E2</f>
        <v>0.00636336</v>
      </c>
      <c r="F29" s="16" t="s">
        <v>0</v>
      </c>
    </row>
    <row r="30" spans="2:6" ht="12.75">
      <c r="B30" s="13" t="s">
        <v>77</v>
      </c>
      <c r="C30" s="13"/>
      <c r="D30" s="28" t="s">
        <v>78</v>
      </c>
      <c r="E30" s="37" t="s">
        <v>79</v>
      </c>
      <c r="F30" s="16"/>
    </row>
    <row r="31" spans="2:6" ht="12.75">
      <c r="B31" s="13" t="s">
        <v>107</v>
      </c>
      <c r="C31" s="13" t="s">
        <v>130</v>
      </c>
      <c r="D31" s="19"/>
      <c r="E31" s="38">
        <v>4</v>
      </c>
      <c r="F31" s="16" t="s">
        <v>80</v>
      </c>
    </row>
    <row r="32" spans="2:6" ht="12.75">
      <c r="B32" s="13" t="s">
        <v>81</v>
      </c>
      <c r="C32" s="13" t="s">
        <v>131</v>
      </c>
      <c r="D32" s="19"/>
      <c r="E32" s="38">
        <v>3</v>
      </c>
      <c r="F32" s="16"/>
    </row>
    <row r="33" spans="2:6" ht="13.5" thickBot="1">
      <c r="B33" s="13" t="s">
        <v>23</v>
      </c>
      <c r="C33" s="13" t="s">
        <v>126</v>
      </c>
      <c r="D33" s="13"/>
      <c r="E33" s="36">
        <f>E31*E32*IF(E30="P",0.185,IF(E30="N",0.045,"?"))/1000</f>
        <v>0.0022199999999999998</v>
      </c>
      <c r="F33" s="16" t="s">
        <v>0</v>
      </c>
    </row>
    <row r="34" spans="2:6" ht="13.5" thickBot="1">
      <c r="B34" s="13" t="s">
        <v>24</v>
      </c>
      <c r="C34" s="13" t="s">
        <v>25</v>
      </c>
      <c r="D34" s="35" t="str">
        <f>IF(E17&lt;1416,"7/32",IF(E17&lt;1816,"1/4",IF(E17&lt;2016,"9/32",IF(E17&lt;2216,"5/16","11/32"))))</f>
        <v>5/16</v>
      </c>
      <c r="E34" s="36">
        <f>IF(E17&lt;1416,5,IF(E17&lt;1816,6,IF(E17&lt;2016,7,IF(E17&lt;2216,8,9))))/10000</f>
        <v>0.0008</v>
      </c>
      <c r="F34" s="16" t="s">
        <v>0</v>
      </c>
    </row>
    <row r="35" spans="2:6" ht="12.75">
      <c r="B35" s="13" t="s">
        <v>26</v>
      </c>
      <c r="C35" s="13" t="s">
        <v>27</v>
      </c>
      <c r="D35" s="17" t="s">
        <v>127</v>
      </c>
      <c r="E35" s="39">
        <f>E27+E29+E33+E34</f>
        <v>0.02765423439459543</v>
      </c>
      <c r="F35" s="16" t="s">
        <v>0</v>
      </c>
    </row>
    <row r="36" spans="2:6" ht="12.75">
      <c r="B36" s="9" t="s">
        <v>82</v>
      </c>
      <c r="C36" s="9" t="s">
        <v>125</v>
      </c>
      <c r="D36" s="21" t="s">
        <v>129</v>
      </c>
      <c r="E36" s="40">
        <f>(E27*E18/2+E29*E18+E33*(E5*E31/2))/E35</f>
        <v>0.4188105792675208</v>
      </c>
      <c r="F36" s="12" t="s">
        <v>4</v>
      </c>
    </row>
    <row r="37" spans="2:6" ht="12.75">
      <c r="B37" s="9" t="s">
        <v>37</v>
      </c>
      <c r="C37" s="41"/>
      <c r="D37" s="42" t="s">
        <v>128</v>
      </c>
      <c r="E37" s="51">
        <f>E36/E18*100-50</f>
        <v>6.596024225340649</v>
      </c>
      <c r="F37" s="12" t="s">
        <v>31</v>
      </c>
    </row>
    <row r="38" spans="2:6" ht="12.75">
      <c r="B38" s="24"/>
      <c r="C38" s="24"/>
      <c r="D38" s="25"/>
      <c r="E38" s="43"/>
      <c r="F38" s="27"/>
    </row>
    <row r="39" spans="2:6" ht="12.75">
      <c r="B39" s="13" t="s">
        <v>120</v>
      </c>
      <c r="C39" s="13" t="s">
        <v>121</v>
      </c>
      <c r="D39" s="13" t="s">
        <v>122</v>
      </c>
      <c r="E39" s="49">
        <f>IF(E30="P",1.6,IF(E30="N",1.9,"?"))</f>
        <v>1.6</v>
      </c>
      <c r="F39" s="16"/>
    </row>
    <row r="40" spans="2:7" ht="12.75">
      <c r="B40" s="13" t="s">
        <v>118</v>
      </c>
      <c r="C40" s="13" t="s">
        <v>119</v>
      </c>
      <c r="D40" s="17" t="s">
        <v>123</v>
      </c>
      <c r="E40" s="49">
        <f>E35/((E20/2)^2*E6*E39)</f>
        <v>316.81497460128315</v>
      </c>
      <c r="F40" s="16"/>
      <c r="G40" s="50"/>
    </row>
    <row r="41" spans="2:6" ht="12.75">
      <c r="B41" s="13" t="s">
        <v>110</v>
      </c>
      <c r="C41" s="13" t="s">
        <v>43</v>
      </c>
      <c r="D41" s="17" t="s">
        <v>46</v>
      </c>
      <c r="E41" s="39">
        <f>2*E3*(E18-0.0254)^3/(48*E24*E26)</f>
        <v>0.013040479986315376</v>
      </c>
      <c r="F41" s="16" t="s">
        <v>1</v>
      </c>
    </row>
    <row r="42" spans="2:6" ht="12.75">
      <c r="B42" s="13" t="s">
        <v>73</v>
      </c>
      <c r="C42" s="13"/>
      <c r="D42" s="17" t="s">
        <v>109</v>
      </c>
      <c r="E42" s="44">
        <f>E41/E5*10^3</f>
        <v>513.4047238706842</v>
      </c>
      <c r="F42" s="16" t="s">
        <v>47</v>
      </c>
    </row>
    <row r="43" spans="2:6" ht="12.75">
      <c r="B43" s="13" t="s">
        <v>74</v>
      </c>
      <c r="C43" s="13" t="s">
        <v>44</v>
      </c>
      <c r="D43" s="17" t="s">
        <v>48</v>
      </c>
      <c r="E43" s="39">
        <f>8*E26*E25/(E18*E20)</f>
        <v>28.578472495494573</v>
      </c>
      <c r="F43" s="16" t="s">
        <v>9</v>
      </c>
    </row>
    <row r="44" spans="2:8" ht="12.75">
      <c r="B44" s="13" t="s">
        <v>75</v>
      </c>
      <c r="C44" s="13" t="s">
        <v>45</v>
      </c>
      <c r="D44" s="17" t="s">
        <v>116</v>
      </c>
      <c r="E44" s="39">
        <f>E25*E18^2/(6*E24*E20)</f>
        <v>0.04650268031564547</v>
      </c>
      <c r="F44" s="16" t="s">
        <v>1</v>
      </c>
      <c r="H44" s="45"/>
    </row>
    <row r="45" spans="2:9" ht="12.75">
      <c r="B45" s="9" t="s">
        <v>85</v>
      </c>
      <c r="C45" s="9" t="s">
        <v>38</v>
      </c>
      <c r="D45" s="21" t="s">
        <v>102</v>
      </c>
      <c r="E45" s="8">
        <f>E6*((E27*E18^3)/(48*E24*E26))^0.5</f>
        <v>0.01712967113742802</v>
      </c>
      <c r="F45" s="12" t="s">
        <v>2</v>
      </c>
      <c r="H45" s="46"/>
      <c r="I45" s="47"/>
    </row>
    <row r="46" spans="2:6" ht="12.75">
      <c r="B46" s="9" t="s">
        <v>86</v>
      </c>
      <c r="C46" s="9" t="s">
        <v>39</v>
      </c>
      <c r="D46" s="21" t="s">
        <v>40</v>
      </c>
      <c r="E46" s="8">
        <f>1/E45</f>
        <v>58.37823691868889</v>
      </c>
      <c r="F46" s="12" t="s">
        <v>6</v>
      </c>
    </row>
    <row r="48" spans="2:7" ht="14.25">
      <c r="B48" s="9" t="s">
        <v>88</v>
      </c>
      <c r="C48" s="9" t="s">
        <v>42</v>
      </c>
      <c r="D48" s="21" t="s">
        <v>49</v>
      </c>
      <c r="E48" s="44">
        <f>E10/(E35+E11)</f>
        <v>5610.62402027671</v>
      </c>
      <c r="F48" s="12" t="s">
        <v>117</v>
      </c>
      <c r="G48" s="48" t="s">
        <v>50</v>
      </c>
    </row>
    <row r="49" spans="2:8" ht="12.75">
      <c r="B49" s="9" t="s">
        <v>89</v>
      </c>
      <c r="C49" s="9" t="s">
        <v>51</v>
      </c>
      <c r="D49" s="21" t="s">
        <v>76</v>
      </c>
      <c r="E49" s="23">
        <f>E6^2*E24*E26/E18^2</f>
        <v>93.50853535149868</v>
      </c>
      <c r="F49" s="12" t="s">
        <v>9</v>
      </c>
      <c r="H49" s="1">
        <f>E6^2*E24*E26/(E18/2)^2</f>
        <v>374.0341414059947</v>
      </c>
    </row>
    <row r="50" spans="2:8" ht="12.75">
      <c r="B50" s="9" t="s">
        <v>90</v>
      </c>
      <c r="C50" s="9" t="s">
        <v>52</v>
      </c>
      <c r="D50" s="21" t="s">
        <v>53</v>
      </c>
      <c r="E50" s="23">
        <f>E29*E48</f>
        <v>35.702420465668006</v>
      </c>
      <c r="F50" s="12" t="s">
        <v>9</v>
      </c>
      <c r="H50" s="1">
        <f>(E27/2+E29)*E48</f>
        <v>86.9579238405559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N1" sqref="N1"/>
    </sheetView>
  </sheetViews>
  <sheetFormatPr defaultColWidth="9.140625" defaultRowHeight="15.75" customHeight="1"/>
  <cols>
    <col min="1" max="1" width="5.57421875" style="58" customWidth="1"/>
    <col min="2" max="2" width="33.00390625" style="58" customWidth="1"/>
    <col min="3" max="3" width="8.421875" style="58" customWidth="1"/>
    <col min="4" max="4" width="33.421875" style="58" customWidth="1"/>
    <col min="5" max="5" width="14.00390625" style="58" customWidth="1"/>
    <col min="6" max="6" width="9.140625" style="60" customWidth="1"/>
    <col min="7" max="7" width="4.140625" style="60" customWidth="1"/>
    <col min="8" max="11" width="7.7109375" style="60" customWidth="1"/>
    <col min="12" max="16384" width="9.140625" style="58" customWidth="1"/>
  </cols>
  <sheetData>
    <row r="1" spans="1:14" s="57" customFormat="1" ht="27" customHeight="1">
      <c r="A1" s="54"/>
      <c r="B1" s="52" t="s">
        <v>209</v>
      </c>
      <c r="C1" s="55"/>
      <c r="D1" s="56"/>
      <c r="E1" s="56"/>
      <c r="F1" s="53" t="s">
        <v>226</v>
      </c>
      <c r="G1" s="54"/>
      <c r="H1" s="54"/>
      <c r="I1" s="54"/>
      <c r="J1" s="54"/>
      <c r="K1" s="54"/>
      <c r="L1" s="55"/>
      <c r="M1" s="55"/>
      <c r="N1" s="55"/>
    </row>
    <row r="3" spans="2:6" ht="15.75" customHeight="1" thickBot="1">
      <c r="B3" s="59"/>
      <c r="C3" s="60"/>
      <c r="D3" s="108" t="s">
        <v>224</v>
      </c>
      <c r="E3" s="108"/>
      <c r="F3" s="108"/>
    </row>
    <row r="4" spans="2:6" ht="15.75" customHeight="1">
      <c r="B4" s="61" t="s">
        <v>190</v>
      </c>
      <c r="C4" s="62" t="s">
        <v>195</v>
      </c>
      <c r="D4" s="63"/>
      <c r="E4" s="64">
        <f>4.4497</f>
        <v>4.4497</v>
      </c>
      <c r="F4" s="65" t="s">
        <v>28</v>
      </c>
    </row>
    <row r="5" spans="2:6" ht="15.75" customHeight="1">
      <c r="B5" s="66" t="s">
        <v>191</v>
      </c>
      <c r="C5" s="62" t="s">
        <v>196</v>
      </c>
      <c r="D5" s="63"/>
      <c r="E5" s="67">
        <v>0.4536</v>
      </c>
      <c r="F5" s="68" t="s">
        <v>133</v>
      </c>
    </row>
    <row r="6" spans="2:6" ht="15.75" customHeight="1">
      <c r="B6" s="66" t="s">
        <v>192</v>
      </c>
      <c r="C6" s="62" t="s">
        <v>197</v>
      </c>
      <c r="D6" s="63"/>
      <c r="E6" s="67">
        <v>6.48E-05</v>
      </c>
      <c r="F6" s="68" t="s">
        <v>7</v>
      </c>
    </row>
    <row r="7" spans="2:6" ht="15.75" customHeight="1">
      <c r="B7" s="66" t="s">
        <v>193</v>
      </c>
      <c r="C7" s="62" t="s">
        <v>198</v>
      </c>
      <c r="D7" s="63"/>
      <c r="E7" s="69">
        <f>180/E11</f>
        <v>57.29577951308232</v>
      </c>
      <c r="F7" s="68" t="s">
        <v>124</v>
      </c>
    </row>
    <row r="8" spans="2:6" ht="15.75" customHeight="1">
      <c r="B8" s="66" t="s">
        <v>194</v>
      </c>
      <c r="C8" s="62" t="s">
        <v>199</v>
      </c>
      <c r="D8" s="63"/>
      <c r="E8" s="67">
        <v>0.0254</v>
      </c>
      <c r="F8" s="68" t="s">
        <v>84</v>
      </c>
    </row>
    <row r="9" spans="2:6" ht="15.75" customHeight="1">
      <c r="B9" s="66" t="s">
        <v>187</v>
      </c>
      <c r="C9" s="62" t="s">
        <v>233</v>
      </c>
      <c r="D9" s="63"/>
      <c r="E9" s="70">
        <v>1.225</v>
      </c>
      <c r="F9" s="68" t="s">
        <v>234</v>
      </c>
    </row>
    <row r="10" spans="2:6" ht="15.75" customHeight="1">
      <c r="B10" s="66" t="s">
        <v>188</v>
      </c>
      <c r="C10" s="62" t="s">
        <v>5</v>
      </c>
      <c r="D10" s="63"/>
      <c r="E10" s="71">
        <v>9.80665</v>
      </c>
      <c r="F10" s="68" t="s">
        <v>235</v>
      </c>
    </row>
    <row r="11" spans="2:6" ht="15.75" customHeight="1">
      <c r="B11" s="66" t="s">
        <v>189</v>
      </c>
      <c r="C11" s="62" t="s">
        <v>200</v>
      </c>
      <c r="D11" s="63"/>
      <c r="E11" s="72">
        <f>PI()</f>
        <v>3.141592653589793</v>
      </c>
      <c r="F11" s="68"/>
    </row>
    <row r="12" spans="2:5" ht="15.75" customHeight="1">
      <c r="B12" s="59"/>
      <c r="C12" s="60"/>
      <c r="E12" s="60"/>
    </row>
    <row r="13" spans="2:6" ht="15.75" customHeight="1" thickBot="1">
      <c r="B13" s="73"/>
      <c r="C13" s="60"/>
      <c r="D13" s="108" t="s">
        <v>140</v>
      </c>
      <c r="E13" s="108"/>
      <c r="F13" s="108"/>
    </row>
    <row r="14" spans="2:10" ht="15.75" customHeight="1">
      <c r="B14" s="74" t="s">
        <v>206</v>
      </c>
      <c r="C14" s="60"/>
      <c r="D14" s="75" t="s">
        <v>166</v>
      </c>
      <c r="E14" s="76" t="s">
        <v>167</v>
      </c>
      <c r="F14" s="68"/>
      <c r="J14" s="77"/>
    </row>
    <row r="15" spans="2:10" ht="15.75" customHeight="1">
      <c r="B15" s="74" t="s">
        <v>207</v>
      </c>
      <c r="C15" s="60"/>
      <c r="D15" s="75" t="s">
        <v>165</v>
      </c>
      <c r="E15" s="76" t="s">
        <v>168</v>
      </c>
      <c r="F15" s="68"/>
      <c r="J15" s="77"/>
    </row>
    <row r="16" spans="2:10" ht="15.75" customHeight="1">
      <c r="B16" s="74" t="s">
        <v>208</v>
      </c>
      <c r="C16" s="60"/>
      <c r="D16" s="75" t="s">
        <v>137</v>
      </c>
      <c r="E16" s="76" t="s">
        <v>169</v>
      </c>
      <c r="F16" s="68"/>
      <c r="J16" s="77"/>
    </row>
    <row r="17" spans="2:10" ht="15.75" customHeight="1">
      <c r="B17" s="73"/>
      <c r="C17" s="60"/>
      <c r="D17" s="75" t="s">
        <v>138</v>
      </c>
      <c r="E17" s="76" t="s">
        <v>170</v>
      </c>
      <c r="F17" s="68"/>
      <c r="J17" s="77"/>
    </row>
    <row r="18" spans="2:5" ht="15.75" customHeight="1">
      <c r="B18" s="59"/>
      <c r="C18" s="60"/>
      <c r="D18" s="78"/>
      <c r="E18" s="76" t="s">
        <v>139</v>
      </c>
    </row>
    <row r="19" spans="2:11" ht="15.75" customHeight="1">
      <c r="B19" s="66" t="s">
        <v>32</v>
      </c>
      <c r="C19" s="62"/>
      <c r="D19" s="79" t="s">
        <v>225</v>
      </c>
      <c r="E19" s="80" t="s">
        <v>168</v>
      </c>
      <c r="F19" s="81">
        <f>MATCH(E19,E14:E17,0)</f>
        <v>2</v>
      </c>
      <c r="H19" s="73" t="s">
        <v>167</v>
      </c>
      <c r="I19" s="73" t="s">
        <v>168</v>
      </c>
      <c r="J19" s="73" t="s">
        <v>169</v>
      </c>
      <c r="K19" s="73" t="s">
        <v>170</v>
      </c>
    </row>
    <row r="20" spans="2:6" ht="15.75" customHeight="1">
      <c r="B20" s="66" t="s">
        <v>132</v>
      </c>
      <c r="C20" s="62" t="s">
        <v>8</v>
      </c>
      <c r="D20" s="107"/>
      <c r="E20" s="80">
        <v>50</v>
      </c>
      <c r="F20" s="106" t="s">
        <v>33</v>
      </c>
    </row>
    <row r="21" spans="2:6" ht="15.75" customHeight="1">
      <c r="B21" s="66" t="s">
        <v>171</v>
      </c>
      <c r="C21" s="62"/>
      <c r="D21" s="82" t="s">
        <v>202</v>
      </c>
      <c r="E21" s="83">
        <f>E4*E20</f>
        <v>222.485</v>
      </c>
      <c r="F21" s="68" t="s">
        <v>9</v>
      </c>
    </row>
    <row r="22" spans="2:11" ht="15.75" customHeight="1">
      <c r="B22" s="66" t="s">
        <v>142</v>
      </c>
      <c r="C22" s="62" t="s">
        <v>141</v>
      </c>
      <c r="D22" s="82" t="s">
        <v>227</v>
      </c>
      <c r="E22" s="83">
        <f>IF(F19="#N/D","???",INDEX(H22:K22,F19))*100</f>
        <v>27</v>
      </c>
      <c r="F22" s="68" t="s">
        <v>31</v>
      </c>
      <c r="H22" s="62">
        <v>0.25</v>
      </c>
      <c r="I22" s="62">
        <v>0.27</v>
      </c>
      <c r="J22" s="62">
        <v>0.32</v>
      </c>
      <c r="K22" s="62">
        <v>0.38</v>
      </c>
    </row>
    <row r="23" spans="2:6" ht="15.75" customHeight="1">
      <c r="B23" s="66" t="s">
        <v>136</v>
      </c>
      <c r="C23" s="62" t="s">
        <v>98</v>
      </c>
      <c r="D23" s="82" t="s">
        <v>143</v>
      </c>
      <c r="E23" s="84">
        <f>E22*E20*E4/100</f>
        <v>60.07095</v>
      </c>
      <c r="F23" s="68" t="s">
        <v>19</v>
      </c>
    </row>
    <row r="24" spans="2:11" ht="15.75" customHeight="1">
      <c r="B24" s="66" t="s">
        <v>10</v>
      </c>
      <c r="C24" s="62" t="s">
        <v>236</v>
      </c>
      <c r="D24" s="82" t="s">
        <v>227</v>
      </c>
      <c r="E24" s="70">
        <f>IF(F19="#N/D","???",INDEX(H24:K24,F19))</f>
        <v>0.013</v>
      </c>
      <c r="F24" s="68" t="s">
        <v>0</v>
      </c>
      <c r="H24" s="84">
        <v>0.02</v>
      </c>
      <c r="I24" s="62">
        <v>0.013</v>
      </c>
      <c r="J24" s="84">
        <v>0.01</v>
      </c>
      <c r="K24" s="62">
        <v>0.009</v>
      </c>
    </row>
    <row r="26" spans="2:6" ht="15.75" customHeight="1" thickBot="1">
      <c r="B26" s="59"/>
      <c r="C26" s="60"/>
      <c r="D26" s="108" t="s">
        <v>201</v>
      </c>
      <c r="E26" s="108"/>
      <c r="F26" s="108"/>
    </row>
    <row r="27" spans="2:6" ht="15.75" customHeight="1">
      <c r="B27" s="66" t="s">
        <v>134</v>
      </c>
      <c r="C27" s="67"/>
      <c r="D27" s="79" t="s">
        <v>150</v>
      </c>
      <c r="E27" s="80">
        <v>2114</v>
      </c>
      <c r="F27" s="106"/>
    </row>
    <row r="28" spans="2:6" ht="15.75" customHeight="1">
      <c r="B28" s="66" t="s">
        <v>60</v>
      </c>
      <c r="C28" s="62" t="s">
        <v>13</v>
      </c>
      <c r="D28" s="85" t="s">
        <v>203</v>
      </c>
      <c r="E28" s="86">
        <f>INT(E27/100)*E8/64</f>
        <v>0.008334375</v>
      </c>
      <c r="F28" s="68" t="s">
        <v>1</v>
      </c>
    </row>
    <row r="29" spans="2:6" ht="15.75" customHeight="1">
      <c r="B29" s="66" t="s">
        <v>61</v>
      </c>
      <c r="C29" s="62" t="s">
        <v>2</v>
      </c>
      <c r="D29" s="85" t="s">
        <v>204</v>
      </c>
      <c r="E29" s="86">
        <f>MOD(E27,100)*E8/1000</f>
        <v>0.00035559999999999997</v>
      </c>
      <c r="F29" s="68" t="s">
        <v>1</v>
      </c>
    </row>
    <row r="30" spans="2:6" ht="15.75" customHeight="1">
      <c r="B30" s="66" t="s">
        <v>14</v>
      </c>
      <c r="C30" s="62" t="s">
        <v>15</v>
      </c>
      <c r="D30" s="82" t="s">
        <v>108</v>
      </c>
      <c r="E30" s="86">
        <f>E28-2*E29</f>
        <v>0.007623174999999999</v>
      </c>
      <c r="F30" s="68" t="s">
        <v>1</v>
      </c>
    </row>
    <row r="31" spans="2:6" ht="15.75" customHeight="1">
      <c r="B31" s="66" t="s">
        <v>185</v>
      </c>
      <c r="C31" s="62" t="s">
        <v>186</v>
      </c>
      <c r="D31" s="82" t="s">
        <v>237</v>
      </c>
      <c r="E31" s="87">
        <f>E11*(E28/2)^2</f>
        <v>5.455517536181555E-05</v>
      </c>
      <c r="F31" s="68" t="s">
        <v>238</v>
      </c>
    </row>
    <row r="32" spans="2:6" ht="15.75" customHeight="1">
      <c r="B32" s="66" t="s">
        <v>11</v>
      </c>
      <c r="C32" s="62" t="s">
        <v>12</v>
      </c>
      <c r="D32" s="107"/>
      <c r="E32" s="80">
        <v>0.762</v>
      </c>
      <c r="F32" s="106" t="s">
        <v>1</v>
      </c>
    </row>
    <row r="33" spans="2:9" ht="15.75" customHeight="1">
      <c r="B33" s="66" t="s">
        <v>135</v>
      </c>
      <c r="C33" s="62"/>
      <c r="D33" s="79" t="s">
        <v>148</v>
      </c>
      <c r="E33" s="80">
        <v>7075</v>
      </c>
      <c r="F33" s="106"/>
      <c r="H33" s="73">
        <v>2024</v>
      </c>
      <c r="I33" s="73">
        <v>7075</v>
      </c>
    </row>
    <row r="34" spans="2:9" ht="15.75" customHeight="1">
      <c r="B34" s="66" t="s">
        <v>146</v>
      </c>
      <c r="C34" s="62" t="s">
        <v>239</v>
      </c>
      <c r="D34" s="82" t="s">
        <v>227</v>
      </c>
      <c r="E34" s="62">
        <f>IF(E$33=2024,H34,IF(E$33=7075,I34,"???"))</f>
        <v>2800</v>
      </c>
      <c r="F34" s="68" t="s">
        <v>240</v>
      </c>
      <c r="H34" s="62">
        <v>2770</v>
      </c>
      <c r="I34" s="62">
        <v>2800</v>
      </c>
    </row>
    <row r="35" spans="2:9" ht="15.75" customHeight="1">
      <c r="B35" s="66" t="s">
        <v>144</v>
      </c>
      <c r="C35" s="62" t="s">
        <v>16</v>
      </c>
      <c r="D35" s="82" t="s">
        <v>227</v>
      </c>
      <c r="E35" s="87">
        <f>IF(E$33=2024,H35,IF(E$33=7075,I35,"???"))</f>
        <v>72000000000</v>
      </c>
      <c r="F35" s="68" t="s">
        <v>241</v>
      </c>
      <c r="H35" s="88">
        <v>73000000000</v>
      </c>
      <c r="I35" s="88">
        <v>72000000000</v>
      </c>
    </row>
    <row r="36" spans="2:9" ht="15.75" customHeight="1">
      <c r="B36" s="66" t="s">
        <v>145</v>
      </c>
      <c r="C36" s="62" t="s">
        <v>17</v>
      </c>
      <c r="D36" s="82" t="s">
        <v>227</v>
      </c>
      <c r="E36" s="87">
        <f>IF(E$33=2024,H36,IF(E$33=7075,I36,"???"))</f>
        <v>470000000</v>
      </c>
      <c r="F36" s="68" t="s">
        <v>241</v>
      </c>
      <c r="H36" s="88">
        <v>310000000</v>
      </c>
      <c r="I36" s="88">
        <v>470000000</v>
      </c>
    </row>
    <row r="37" spans="2:7" ht="15.75" customHeight="1">
      <c r="B37" s="66" t="s">
        <v>18</v>
      </c>
      <c r="C37" s="62" t="s">
        <v>19</v>
      </c>
      <c r="D37" s="82" t="s">
        <v>242</v>
      </c>
      <c r="E37" s="89">
        <f>E11*(E28^4-E30^4)/64</f>
        <v>7.107094474251283E-11</v>
      </c>
      <c r="F37" s="68" t="s">
        <v>243</v>
      </c>
      <c r="G37" s="90"/>
    </row>
    <row r="38" spans="2:6" ht="15.75" customHeight="1">
      <c r="B38" s="66" t="s">
        <v>20</v>
      </c>
      <c r="C38" s="62" t="s">
        <v>21</v>
      </c>
      <c r="D38" s="82" t="s">
        <v>244</v>
      </c>
      <c r="E38" s="86">
        <f>E32*E34*E11*(E28^2-E30^2)/4</f>
        <v>0.019017824962586007</v>
      </c>
      <c r="F38" s="68" t="s">
        <v>0</v>
      </c>
    </row>
    <row r="39" spans="2:6" ht="15.75" customHeight="1">
      <c r="B39" s="66" t="s">
        <v>149</v>
      </c>
      <c r="C39" s="62"/>
      <c r="D39" s="79" t="s">
        <v>151</v>
      </c>
      <c r="E39" s="91">
        <v>98.2</v>
      </c>
      <c r="F39" s="106" t="s">
        <v>36</v>
      </c>
    </row>
    <row r="40" spans="2:6" ht="15.75" customHeight="1">
      <c r="B40" s="66" t="s">
        <v>147</v>
      </c>
      <c r="C40" s="62" t="s">
        <v>22</v>
      </c>
      <c r="D40" s="92" t="s">
        <v>205</v>
      </c>
      <c r="E40" s="86">
        <f>E39*E6</f>
        <v>0.00636336</v>
      </c>
      <c r="F40" s="68" t="s">
        <v>0</v>
      </c>
    </row>
    <row r="41" spans="2:9" ht="15.75" customHeight="1">
      <c r="B41" s="66" t="s">
        <v>77</v>
      </c>
      <c r="C41" s="62"/>
      <c r="D41" s="79" t="s">
        <v>152</v>
      </c>
      <c r="E41" s="91" t="s">
        <v>79</v>
      </c>
      <c r="F41" s="106"/>
      <c r="H41" s="73" t="s">
        <v>79</v>
      </c>
      <c r="I41" s="73" t="s">
        <v>9</v>
      </c>
    </row>
    <row r="42" spans="2:6" ht="15.75" customHeight="1">
      <c r="B42" s="66" t="s">
        <v>81</v>
      </c>
      <c r="C42" s="62" t="s">
        <v>131</v>
      </c>
      <c r="D42" s="79" t="s">
        <v>153</v>
      </c>
      <c r="E42" s="93">
        <v>3</v>
      </c>
      <c r="F42" s="106"/>
    </row>
    <row r="43" spans="2:6" ht="15.75" customHeight="1">
      <c r="B43" s="66" t="s">
        <v>210</v>
      </c>
      <c r="C43" s="62" t="s">
        <v>211</v>
      </c>
      <c r="D43" s="79"/>
      <c r="E43" s="93">
        <v>2</v>
      </c>
      <c r="F43" s="106" t="s">
        <v>212</v>
      </c>
    </row>
    <row r="44" spans="2:6" ht="15.75" customHeight="1">
      <c r="B44" s="66" t="s">
        <v>154</v>
      </c>
      <c r="C44" s="62" t="s">
        <v>130</v>
      </c>
      <c r="D44" s="107"/>
      <c r="E44" s="94">
        <v>0.1</v>
      </c>
      <c r="F44" s="106" t="s">
        <v>1</v>
      </c>
    </row>
    <row r="45" spans="2:9" ht="15.75" customHeight="1">
      <c r="B45" s="66" t="s">
        <v>228</v>
      </c>
      <c r="C45" s="62" t="s">
        <v>230</v>
      </c>
      <c r="D45" s="82" t="s">
        <v>227</v>
      </c>
      <c r="E45" s="86">
        <f>IF(E41="P",H45,IF(E41="N",I445,"???"))</f>
        <v>0.0075</v>
      </c>
      <c r="F45" s="68" t="s">
        <v>229</v>
      </c>
      <c r="H45" s="95">
        <v>0.0075</v>
      </c>
      <c r="I45" s="62">
        <v>0.0018</v>
      </c>
    </row>
    <row r="46" spans="2:6" ht="15.75" customHeight="1">
      <c r="B46" s="66" t="s">
        <v>155</v>
      </c>
      <c r="C46" s="62" t="s">
        <v>126</v>
      </c>
      <c r="D46" s="96" t="s">
        <v>231</v>
      </c>
      <c r="E46" s="86">
        <f>E45*E42*E44</f>
        <v>0.00225</v>
      </c>
      <c r="F46" s="68" t="s">
        <v>0</v>
      </c>
    </row>
    <row r="47" spans="2:8" ht="15.75" customHeight="1">
      <c r="B47" s="66" t="s">
        <v>24</v>
      </c>
      <c r="C47" s="62" t="s">
        <v>25</v>
      </c>
      <c r="D47" s="82" t="s">
        <v>227</v>
      </c>
      <c r="E47" s="86">
        <f>IF(E27&lt;1600,5,IF(E27&lt;1818,6,IF(E27&lt;2018,7,IF(E27&lt;2300,8,9))))/10000</f>
        <v>0.0008</v>
      </c>
      <c r="F47" s="68" t="s">
        <v>0</v>
      </c>
      <c r="H47" s="97" t="s">
        <v>232</v>
      </c>
    </row>
    <row r="48" spans="2:6" ht="15.75" customHeight="1">
      <c r="B48" s="66" t="s">
        <v>26</v>
      </c>
      <c r="C48" s="62" t="s">
        <v>27</v>
      </c>
      <c r="D48" s="82" t="s">
        <v>127</v>
      </c>
      <c r="E48" s="86">
        <f>E38+E40+E46+E47</f>
        <v>0.028431184962586002</v>
      </c>
      <c r="F48" s="68" t="s">
        <v>0</v>
      </c>
    </row>
    <row r="50" spans="2:6" ht="15.75" customHeight="1" thickBot="1">
      <c r="B50" s="59"/>
      <c r="C50" s="60"/>
      <c r="D50" s="108" t="s">
        <v>220</v>
      </c>
      <c r="E50" s="108"/>
      <c r="F50" s="108"/>
    </row>
    <row r="51" spans="2:7" ht="15.75" customHeight="1">
      <c r="B51" s="66" t="s">
        <v>177</v>
      </c>
      <c r="C51" s="62" t="s">
        <v>125</v>
      </c>
      <c r="D51" s="82" t="s">
        <v>245</v>
      </c>
      <c r="E51" s="86">
        <f>(E40*E32+E38*E32/2+E46*E44/2+E47*0)/E48</f>
        <v>0.42935852469073266</v>
      </c>
      <c r="F51" s="68" t="s">
        <v>1</v>
      </c>
      <c r="G51" s="98"/>
    </row>
    <row r="52" spans="2:7" ht="15.75" customHeight="1">
      <c r="B52" s="66" t="s">
        <v>178</v>
      </c>
      <c r="C52" s="62" t="s">
        <v>179</v>
      </c>
      <c r="D52" s="82" t="s">
        <v>180</v>
      </c>
      <c r="E52" s="99">
        <f>E51/E32*100-50</f>
        <v>6.346263082773319</v>
      </c>
      <c r="F52" s="68" t="s">
        <v>31</v>
      </c>
      <c r="G52" s="98"/>
    </row>
    <row r="53" spans="2:7" ht="15.75" customHeight="1">
      <c r="B53" s="66" t="s">
        <v>156</v>
      </c>
      <c r="C53" s="62"/>
      <c r="D53" s="82" t="s">
        <v>246</v>
      </c>
      <c r="E53" s="100">
        <f>2*E4*(E32-E8)^3/48/E35/E37*1000/E8</f>
        <v>570.1069455164542</v>
      </c>
      <c r="F53" s="68"/>
      <c r="G53" s="98"/>
    </row>
    <row r="54" spans="2:7" ht="15.75" customHeight="1">
      <c r="B54" s="66" t="s">
        <v>157</v>
      </c>
      <c r="C54" s="62" t="s">
        <v>247</v>
      </c>
      <c r="D54" s="82" t="s">
        <v>248</v>
      </c>
      <c r="E54" s="84">
        <f>8*E37*E36/E32/E28</f>
        <v>42.07769339570321</v>
      </c>
      <c r="F54" s="68" t="s">
        <v>9</v>
      </c>
      <c r="G54" s="98"/>
    </row>
    <row r="55" spans="2:7" ht="15.75" customHeight="1">
      <c r="B55" s="66" t="s">
        <v>158</v>
      </c>
      <c r="C55" s="62" t="s">
        <v>249</v>
      </c>
      <c r="D55" s="82" t="s">
        <v>250</v>
      </c>
      <c r="E55" s="86">
        <f>E36*E32^2/6/E35/E28</f>
        <v>0.0757968253968254</v>
      </c>
      <c r="F55" s="68" t="s">
        <v>1</v>
      </c>
      <c r="G55" s="98"/>
    </row>
    <row r="56" spans="2:6" ht="15.75" customHeight="1">
      <c r="B56" s="66" t="s">
        <v>172</v>
      </c>
      <c r="C56" s="62" t="s">
        <v>251</v>
      </c>
      <c r="D56" s="82" t="s">
        <v>252</v>
      </c>
      <c r="E56" s="84">
        <f>E11^2*E35*E37/E32^2</f>
        <v>86.97899547650604</v>
      </c>
      <c r="F56" s="68" t="s">
        <v>9</v>
      </c>
    </row>
    <row r="57" spans="2:6" ht="15.75" customHeight="1">
      <c r="B57" s="66" t="s">
        <v>174</v>
      </c>
      <c r="C57" s="62" t="s">
        <v>173</v>
      </c>
      <c r="D57" s="82" t="s">
        <v>253</v>
      </c>
      <c r="E57" s="84">
        <f>E40*E63</f>
        <v>34.17117205019554</v>
      </c>
      <c r="F57" s="68" t="s">
        <v>9</v>
      </c>
    </row>
    <row r="59" spans="2:6" ht="15.75" customHeight="1" thickBot="1">
      <c r="B59" s="59"/>
      <c r="C59" s="60"/>
      <c r="D59" s="108" t="s">
        <v>221</v>
      </c>
      <c r="E59" s="108"/>
      <c r="F59" s="108"/>
    </row>
    <row r="60" spans="2:9" ht="15.75" customHeight="1">
      <c r="B60" s="66" t="s">
        <v>159</v>
      </c>
      <c r="C60" s="62" t="s">
        <v>97</v>
      </c>
      <c r="D60" s="82" t="s">
        <v>254</v>
      </c>
      <c r="E60" s="84">
        <f>E23*E48/(E48+E24)</f>
        <v>41.222289245903696</v>
      </c>
      <c r="F60" s="68" t="s">
        <v>19</v>
      </c>
      <c r="I60" s="101"/>
    </row>
    <row r="61" spans="2:6" ht="15.75" customHeight="1">
      <c r="B61" s="66" t="s">
        <v>162</v>
      </c>
      <c r="C61" s="62" t="s">
        <v>163</v>
      </c>
      <c r="D61" s="82" t="s">
        <v>164</v>
      </c>
      <c r="E61" s="100">
        <f>E60/E23*100</f>
        <v>68.62266910362446</v>
      </c>
      <c r="F61" s="68" t="s">
        <v>31</v>
      </c>
    </row>
    <row r="62" spans="2:6" ht="15.75" customHeight="1">
      <c r="B62" s="66" t="s">
        <v>160</v>
      </c>
      <c r="C62" s="62" t="s">
        <v>41</v>
      </c>
      <c r="D62" s="82" t="s">
        <v>255</v>
      </c>
      <c r="E62" s="84">
        <f>(2*E60/E48)^0.5</f>
        <v>53.84973502412676</v>
      </c>
      <c r="F62" s="68" t="s">
        <v>3</v>
      </c>
    </row>
    <row r="63" spans="2:6" ht="15.75" customHeight="1">
      <c r="B63" s="66" t="s">
        <v>161</v>
      </c>
      <c r="C63" s="62" t="s">
        <v>256</v>
      </c>
      <c r="D63" s="82" t="s">
        <v>257</v>
      </c>
      <c r="E63" s="100">
        <f>E4*E20/(E48+E24)</f>
        <v>5369.988818830859</v>
      </c>
      <c r="F63" s="68" t="s">
        <v>235</v>
      </c>
    </row>
    <row r="64" spans="2:9" ht="15.75" customHeight="1">
      <c r="B64" s="66" t="s">
        <v>120</v>
      </c>
      <c r="C64" s="62" t="s">
        <v>121</v>
      </c>
      <c r="D64" s="82" t="s">
        <v>227</v>
      </c>
      <c r="E64" s="99">
        <f>IF(E41="P",H64,IF(E41="N",I64,"???"))</f>
        <v>1.6</v>
      </c>
      <c r="F64" s="68"/>
      <c r="H64" s="62">
        <v>1.6</v>
      </c>
      <c r="I64" s="62">
        <v>1.9</v>
      </c>
    </row>
    <row r="65" spans="2:6" ht="15.75" customHeight="1">
      <c r="B65" s="66" t="s">
        <v>118</v>
      </c>
      <c r="C65" s="62" t="s">
        <v>119</v>
      </c>
      <c r="D65" s="85" t="s">
        <v>181</v>
      </c>
      <c r="E65" s="99">
        <f>E48/E64/E28^2*4/E11</f>
        <v>325.71594690635953</v>
      </c>
      <c r="F65" s="68" t="s">
        <v>258</v>
      </c>
    </row>
    <row r="66" spans="2:6" ht="15.75" customHeight="1">
      <c r="B66" s="66" t="s">
        <v>182</v>
      </c>
      <c r="C66" s="62" t="s">
        <v>183</v>
      </c>
      <c r="D66" s="82" t="s">
        <v>259</v>
      </c>
      <c r="E66" s="99">
        <f>(2*E10*E65/E9)^0.5</f>
        <v>72.21489801327814</v>
      </c>
      <c r="F66" s="68" t="s">
        <v>3</v>
      </c>
    </row>
    <row r="68" spans="2:6" ht="15.75" customHeight="1" thickBot="1">
      <c r="B68" s="59"/>
      <c r="C68" s="60"/>
      <c r="D68" s="108" t="s">
        <v>222</v>
      </c>
      <c r="E68" s="108"/>
      <c r="F68" s="108"/>
    </row>
    <row r="69" spans="2:6" ht="15.75" customHeight="1">
      <c r="B69" s="66" t="s">
        <v>176</v>
      </c>
      <c r="C69" s="102" t="s">
        <v>175</v>
      </c>
      <c r="D69" s="82" t="s">
        <v>260</v>
      </c>
      <c r="E69" s="86">
        <f>E11*(E38*E32^3/48/E35/E37)^0.5</f>
        <v>0.0183878029679938</v>
      </c>
      <c r="F69" s="68" t="s">
        <v>2</v>
      </c>
    </row>
    <row r="70" spans="2:6" ht="15.75" customHeight="1">
      <c r="B70" s="66" t="s">
        <v>184</v>
      </c>
      <c r="C70" s="67" t="s">
        <v>261</v>
      </c>
      <c r="D70" s="82" t="s">
        <v>262</v>
      </c>
      <c r="E70" s="99">
        <f>1/E69</f>
        <v>54.383876189048856</v>
      </c>
      <c r="F70" s="68" t="s">
        <v>263</v>
      </c>
    </row>
    <row r="72" spans="2:6" ht="15.75" customHeight="1" thickBot="1">
      <c r="B72" s="59"/>
      <c r="C72" s="60"/>
      <c r="D72" s="108" t="s">
        <v>223</v>
      </c>
      <c r="E72" s="108"/>
      <c r="F72" s="108"/>
    </row>
    <row r="73" spans="2:6" ht="15.75" customHeight="1">
      <c r="B73" s="66" t="s">
        <v>214</v>
      </c>
      <c r="C73" s="62" t="s">
        <v>215</v>
      </c>
      <c r="D73" s="82" t="s">
        <v>216</v>
      </c>
      <c r="E73" s="84">
        <f>E11*E28/TAN(E43/E7)</f>
        <v>0.749789069752598</v>
      </c>
      <c r="F73" s="68" t="s">
        <v>1</v>
      </c>
    </row>
    <row r="74" spans="2:10" ht="15.75" customHeight="1">
      <c r="B74" s="66" t="s">
        <v>213</v>
      </c>
      <c r="C74" s="62" t="s">
        <v>264</v>
      </c>
      <c r="D74" s="82" t="s">
        <v>217</v>
      </c>
      <c r="E74" s="99">
        <f>E62/E73</f>
        <v>71.8198453358291</v>
      </c>
      <c r="F74" s="68" t="s">
        <v>263</v>
      </c>
      <c r="J74" s="103"/>
    </row>
    <row r="75" spans="2:10" ht="15.75" customHeight="1">
      <c r="B75" s="66" t="s">
        <v>218</v>
      </c>
      <c r="C75" s="62" t="s">
        <v>219</v>
      </c>
      <c r="D75" s="82" t="s">
        <v>265</v>
      </c>
      <c r="E75" s="104">
        <f>E60*TAN(E43/E7)^2</f>
        <v>0.05026893869307857</v>
      </c>
      <c r="F75" s="68" t="s">
        <v>19</v>
      </c>
      <c r="J75" s="103"/>
    </row>
    <row r="77" spans="1:14" s="57" customFormat="1" ht="15.75" customHeight="1">
      <c r="A77" s="54"/>
      <c r="B77" s="55"/>
      <c r="C77" s="55"/>
      <c r="D77" s="56" t="s">
        <v>266</v>
      </c>
      <c r="E77" s="109" t="s">
        <v>267</v>
      </c>
      <c r="F77" s="105"/>
      <c r="G77" s="54"/>
      <c r="H77" s="54"/>
      <c r="I77" s="54"/>
      <c r="J77" s="54"/>
      <c r="K77" s="54"/>
      <c r="L77" s="55"/>
      <c r="M77" s="55"/>
      <c r="N77" s="55"/>
    </row>
  </sheetData>
  <sheetProtection password="E876" sheet="1" objects="1" scenarios="1"/>
  <mergeCells count="7">
    <mergeCell ref="D59:F59"/>
    <mergeCell ref="D68:F68"/>
    <mergeCell ref="D72:F72"/>
    <mergeCell ref="D3:F3"/>
    <mergeCell ref="D13:F13"/>
    <mergeCell ref="D26:F26"/>
    <mergeCell ref="D50:F50"/>
  </mergeCells>
  <hyperlinks>
    <hyperlink ref="E77" r:id="rId1" display="www.outlab.it/works/frecce.pdf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prontuario di formule</dc:title>
  <dc:subject/>
  <dc:creator>ventuno</dc:creator>
  <cp:keywords/>
  <dc:description/>
  <cp:lastModifiedBy>Ostidich</cp:lastModifiedBy>
  <dcterms:created xsi:type="dcterms:W3CDTF">2007-05-30T20:43:31Z</dcterms:created>
  <dcterms:modified xsi:type="dcterms:W3CDTF">2010-12-09T17:24:05Z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